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<sst xmlns="http://schemas.openxmlformats.org/spreadsheetml/2006/main" count="18203" uniqueCount="4322">
  <si>
    <t xml:space="preserve"> (требуется обновление)</t>
  </si>
  <si>
    <t>Код отчёта: PP108.OPEN.INFO.BALANCE.HOTVSNA.EIAS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</si>
  <si>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</si>
  <si>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</si>
  <si>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</si>
  <si>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</si>
  <si>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</si>
  <si>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</si>
  <si>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</si>
  <si>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</si>
  <si>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</si>
  <si>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</si>
  <si>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</si>
  <si>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</si>
  <si>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</si>
  <si>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</si>
  <si>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</si>
  <si>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</si>
  <si>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</si>
  <si>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</si>
  <si>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</si>
  <si>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</si>
  <si>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</si>
  <si>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</si>
  <si>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</si>
  <si>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</si>
  <si>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</si>
  <si>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</si>
  <si>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</si>
  <si>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</si>
  <si>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</si>
  <si>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</si>
  <si>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</si>
  <si>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</si>
  <si>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</si>
  <si>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</si>
  <si>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</si>
  <si>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</si>
  <si>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</si>
  <si>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</si>
  <si>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</si>
  <si>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</si>
  <si>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</si>
  <si>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</si>
  <si>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</si>
  <si>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</si>
  <si>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</si>
  <si>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</si>
  <si>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</si>
  <si>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</si>
  <si>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</si>
  <si>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</si>
  <si>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</si>
  <si>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</si>
  <si>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</si>
  <si>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</si>
  <si>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</si>
  <si>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</si>
  <si>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</si>
  <si>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</si>
  <si>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</si>
  <si>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</si>
  <si>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</si>
  <si>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</si>
  <si>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</si>
  <si>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</si>
  <si>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</si>
  <si>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</si>
  <si>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410033, г. Саратов, ул. Г.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</si>
  <si>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</si>
  <si>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</si>
  <si>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</si>
  <si>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</si>
  <si>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</si>
  <si>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</si>
  <si>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</si>
  <si>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</si>
  <si>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</si>
  <si>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</si>
  <si>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</si>
  <si>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</si>
  <si>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</si>
  <si>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</si>
  <si>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</si>
  <si>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</si>
  <si>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</si>
  <si>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</si>
  <si>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</si>
  <si>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</si>
  <si>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</si>
  <si>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</si>
  <si>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</si>
  <si>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</si>
  <si>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</si>
  <si>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</si>
  <si>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</si>
  <si>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</si>
  <si>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</si>
  <si>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</si>
  <si>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</si>
  <si>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</si>
  <si>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</si>
  <si>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</si>
  <si>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</si>
  <si>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</si>
  <si>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</si>
  <si>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</si>
  <si>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</si>
  <si>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</si>
  <si>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</si>
  <si>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</si>
  <si>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</si>
  <si>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</si>
  <si>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</si>
  <si>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</si>
  <si>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xml:space="preserve">г. Саратов, ул.Деловая, 22, п. Юбилейный
</t>
  </si>
  <si>
    <t>diff_1</t>
  </si>
  <si>
    <t>4189702</t>
  </si>
  <si>
    <t>a</t>
  </si>
  <si>
    <t>×</t>
  </si>
  <si>
    <t xml:space="preserve">г. Саратов, ул. Вавилова,8/26 А
</t>
  </si>
  <si>
    <t>diff_5</t>
  </si>
  <si>
    <t xml:space="preserve">г. Саратов, пр. 50 лет Октября, 60, 74, 108, ЦТП Волочаевский пр., 5, ЦТП Соколовая, 145/153
</t>
  </si>
  <si>
    <t>diff_51</t>
  </si>
  <si>
    <t xml:space="preserve">г. Саратов, ул. Шелковичная, 186, ул. Шелковичная, 178, ул. Шелковичная, 155/161, ул. 2-я Садовая, 106 б.
</t>
  </si>
  <si>
    <t>diff_511</t>
  </si>
  <si>
    <t xml:space="preserve">г. Саратов, ул. Ломоносова, 1
</t>
  </si>
  <si>
    <t>diff_5111</t>
  </si>
  <si>
    <t xml:space="preserve">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t>
  </si>
  <si>
    <t>diff_51111</t>
  </si>
  <si>
    <t xml:space="preserve">г. Саратов, ул. Огородная, 77
</t>
  </si>
  <si>
    <t>diff_511111</t>
  </si>
  <si>
    <t xml:space="preserve">г. Саратов, ул. Танкистов, 89
</t>
  </si>
  <si>
    <t>diff_5111111</t>
  </si>
  <si>
    <t>9</t>
  </si>
  <si>
    <t xml:space="preserve">г. Саратов, ул. Политехническая, 47
</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</si>
  <si>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</si>
  <si>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</si>
  <si>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</si>
  <si>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</si>
  <si>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</si>
  <si>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</si>
  <si>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</si>
  <si>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</si>
  <si>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</si>
  <si>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</si>
  <si>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</si>
  <si>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</si>
  <si>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</si>
  <si>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</si>
  <si>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</si>
  <si>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</si>
  <si>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</si>
  <si>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</si>
  <si>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</si>
  <si>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</si>
  <si>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</si>
  <si>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</si>
  <si>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</si>
  <si>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</si>
  <si>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</si>
  <si>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</si>
  <si>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</si>
  <si>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</si>
  <si>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</si>
  <si>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</si>
  <si>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</si>
  <si>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</si>
  <si>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</si>
  <si>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</si>
  <si>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</si>
  <si>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</si>
  <si>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</si>
  <si>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</si>
  <si>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</si>
  <si>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</si>
  <si>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</si>
  <si>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</si>
  <si>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</si>
  <si>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</si>
  <si>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</si>
  <si>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</si>
  <si>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</si>
  <si>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</si>
  <si>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</si>
  <si>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</si>
  <si>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</si>
  <si>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</si>
  <si>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</si>
  <si>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</si>
  <si>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</si>
  <si>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</si>
  <si>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</si>
  <si>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</si>
  <si>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</si>
  <si>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</si>
  <si>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</si>
  <si>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</si>
  <si>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</si>
  <si>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</si>
  <si>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</si>
  <si>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</si>
  <si>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</si>
  <si>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</si>
  <si>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</si>
  <si>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</si>
  <si>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</si>
  <si>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</si>
  <si>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</si>
  <si>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</si>
  <si>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</si>
  <si>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</si>
  <si>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</si>
  <si>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</si>
  <si>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</si>
  <si>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</si>
  <si>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</si>
  <si>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</si>
  <si>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</si>
  <si>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</si>
  <si>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</si>
  <si>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</si>
  <si>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</si>
  <si>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</si>
  <si>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</si>
  <si>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</si>
  <si>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</si>
  <si>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</si>
  <si>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</si>
  <si>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</si>
  <si>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</si>
  <si>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</si>
  <si>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</si>
  <si>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</si>
  <si>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</si>
  <si>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</si>
  <si>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</si>
  <si>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</si>
  <si>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</si>
  <si>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</si>
  <si>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</si>
  <si>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</si>
  <si>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</si>
  <si>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</si>
  <si>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</si>
  <si>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</si>
  <si>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</si>
  <si>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</si>
  <si>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</si>
  <si>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</si>
  <si>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</si>
  <si>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</si>
  <si>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</si>
  <si>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</si>
  <si>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</si>
  <si>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</si>
  <si>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</si>
  <si>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</si>
  <si>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</si>
  <si>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</si>
  <si>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</si>
  <si>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</si>
  <si>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</si>
  <si>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</si>
  <si>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</si>
  <si>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</si>
  <si>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</si>
  <si>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</si>
  <si>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</si>
  <si>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</si>
  <si>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</si>
  <si>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</si>
  <si>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</si>
  <si>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</si>
  <si>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</si>
  <si>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</si>
  <si>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</si>
  <si>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</si>
  <si>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</si>
  <si>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</si>
  <si>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</si>
  <si>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</si>
  <si>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</si>
  <si>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</si>
  <si>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</si>
  <si>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</si>
  <si>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</si>
  <si>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</si>
  <si>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</si>
  <si>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</si>
  <si>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</si>
  <si>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</si>
  <si>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</si>
  <si>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</si>
  <si>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</si>
  <si>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</si>
  <si>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</si>
  <si>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</si>
  <si>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</si>
  <si>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</si>
  <si>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</si>
  <si>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</si>
  <si>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</si>
  <si>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</si>
  <si>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</si>
  <si>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</si>
  <si>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</si>
  <si>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</si>
  <si>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</si>
  <si>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</si>
  <si>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</si>
  <si>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</si>
  <si>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</si>
  <si>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</si>
  <si>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</si>
  <si>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</si>
  <si>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</si>
  <si>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</si>
  <si>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</si>
  <si>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</si>
  <si>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</si>
  <si>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</si>
  <si>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</si>
  <si>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</si>
  <si>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</si>
  <si>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</si>
  <si>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</si>
  <si>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</si>
  <si>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</si>
  <si>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</si>
  <si>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</si>
  <si>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</si>
  <si>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</si>
  <si>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</si>
  <si>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</si>
  <si>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</si>
  <si>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</si>
  <si>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</si>
  <si>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</si>
  <si>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</si>
  <si>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</si>
  <si>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</si>
  <si>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</si>
  <si>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</si>
  <si>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</si>
  <si>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</si>
  <si>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</si>
  <si>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</si>
  <si>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</si>
  <si>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</si>
  <si>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</si>
  <si>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</si>
  <si>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</si>
  <si>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</si>
  <si>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</si>
  <si>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</si>
  <si>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</si>
  <si>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</si>
  <si>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</si>
  <si>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</si>
  <si>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</si>
  <si>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</si>
  <si>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</si>
  <si>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</si>
  <si>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</si>
  <si>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</si>
  <si>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</si>
  <si>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</si>
  <si>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</si>
  <si>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</si>
  <si>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</si>
  <si>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</si>
  <si>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</si>
  <si>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</si>
  <si>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</si>
  <si>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</si>
  <si>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</si>
  <si>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</si>
  <si>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</si>
  <si>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</si>
  <si>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</si>
  <si>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</si>
  <si>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</si>
  <si>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</si>
  <si>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</si>
  <si>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</si>
  <si>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</si>
  <si>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</si>
  <si>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</si>
  <si>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</si>
  <si>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</si>
  <si>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</si>
  <si>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</si>
  <si>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</si>
  <si>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</si>
  <si>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</si>
  <si>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</si>
  <si>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</si>
  <si>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</si>
  <si>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</si>
  <si>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</si>
  <si>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</si>
  <si>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</si>
  <si>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</si>
  <si>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</si>
  <si>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</si>
  <si>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</si>
  <si>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</si>
  <si>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</si>
  <si>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</si>
  <si>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</si>
  <si>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</si>
  <si>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</si>
  <si>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</si>
  <si>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</si>
  <si>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</si>
  <si>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</si>
  <si>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</si>
  <si>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</si>
  <si>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</si>
  <si>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</si>
  <si>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</si>
  <si>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</si>
  <si>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</si>
  <si>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</si>
  <si>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</si>
  <si>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</si>
  <si>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</si>
  <si>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</si>
  <si>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</si>
  <si>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</si>
  <si>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</si>
  <si>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</si>
  <si>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</si>
  <si>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</si>
  <si>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</si>
  <si>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</si>
  <si>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</si>
  <si>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</si>
  <si>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</si>
  <si>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</si>
  <si>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</si>
  <si>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</si>
  <si>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</si>
  <si>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</si>
  <si>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</si>
  <si>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</si>
  <si>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</si>
  <si>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</si>
  <si>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</si>
  <si>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</si>
  <si>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</si>
  <si>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</si>
  <si>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</si>
  <si>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</si>
  <si>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</si>
  <si>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</si>
  <si>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</si>
  <si>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</si>
  <si>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</si>
  <si>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</si>
  <si>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</si>
  <si>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</si>
  <si>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</si>
  <si>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</si>
  <si>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</si>
  <si>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</si>
  <si>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</si>
  <si>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</si>
  <si>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</si>
  <si>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</si>
  <si>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</si>
  <si>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</si>
  <si>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</si>
  <si>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</si>
  <si>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</si>
  <si>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</si>
  <si>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</si>
  <si>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</si>
  <si>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</si>
  <si>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</si>
  <si>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</si>
  <si>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</si>
  <si>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</si>
  <si>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</si>
  <si>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</si>
  <si>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</si>
  <si>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</si>
  <si>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</si>
  <si>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</si>
  <si>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</si>
  <si>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</si>
  <si>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</si>
  <si>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</si>
  <si>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</si>
  <si>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</si>
  <si>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</si>
  <si>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</si>
  <si>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</si>
  <si>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</si>
  <si>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</si>
  <si>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</si>
  <si>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</si>
  <si>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</si>
  <si>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</si>
  <si>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</si>
  <si>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</si>
  <si>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</si>
  <si>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</si>
  <si>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</si>
  <si>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</si>
  <si>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</si>
  <si>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</si>
  <si>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</si>
  <si>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</si>
  <si>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</si>
  <si>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</si>
  <si>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</si>
  <si>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</si>
  <si>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</si>
  <si>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</si>
  <si>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</si>
  <si>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</si>
  <si>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</si>
  <si>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</si>
  <si>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</si>
  <si>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</si>
  <si>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</si>
  <si>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</si>
  <si>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</si>
  <si>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</si>
  <si>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</si>
  <si>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</si>
  <si>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</si>
  <si>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</si>
  <si>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</si>
  <si>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</si>
  <si>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</si>
  <si>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</si>
  <si>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</si>
  <si>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</si>
  <si>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</si>
  <si>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</si>
  <si>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</si>
  <si>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</si>
  <si>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</si>
  <si>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</si>
  <si>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</si>
  <si>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</si>
  <si>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</si>
  <si>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</si>
  <si>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</si>
  <si>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</si>
  <si>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</si>
  <si>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</si>
  <si>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</si>
  <si>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</si>
  <si>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</si>
  <si>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</si>
  <si>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</si>
  <si>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</si>
  <si>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</si>
  <si>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</si>
  <si>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</si>
  <si>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</si>
  <si>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</si>
  <si>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</si>
  <si>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</si>
  <si>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</si>
  <si>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</si>
  <si>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</si>
  <si>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</si>
  <si>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</si>
  <si>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</si>
  <si>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</si>
  <si>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</si>
  <si>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</si>
  <si>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</si>
  <si>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</si>
  <si>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</si>
  <si>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</si>
  <si>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</si>
  <si>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</si>
  <si>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</si>
  <si>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</si>
  <si>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</si>
  <si>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</si>
  <si>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</si>
  <si>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</si>
  <si>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</si>
  <si>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</si>
  <si>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</si>
  <si>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</si>
  <si>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</si>
  <si>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</si>
  <si>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https://portal.eias.ru/Portal/DownloadPage.aspx?type=12&amp;guid=ea9d9760-6f75-4165-8a99-fc8b509518bf</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</si>
  <si>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</si>
  <si>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</si>
  <si>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</si>
  <si>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</si>
  <si>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</si>
  <si>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</si>
  <si>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</si>
  <si>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</si>
  <si>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</si>
  <si>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</si>
  <si>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</si>
  <si>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</si>
  <si>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</si>
  <si>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</si>
  <si>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</si>
  <si>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</si>
  <si>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</si>
  <si>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</si>
  <si>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</si>
  <si>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</si>
  <si>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</si>
  <si>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</si>
  <si>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</si>
  <si>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</si>
  <si>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</si>
  <si>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</si>
  <si>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</si>
  <si>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</si>
  <si>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</si>
  <si>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</si>
  <si>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</si>
  <si>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</si>
  <si>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</si>
  <si>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</si>
  <si>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</si>
  <si>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</si>
  <si>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</si>
  <si>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</si>
  <si>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</si>
  <si>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</si>
  <si>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</si>
  <si>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</si>
  <si>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</si>
  <si>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</si>
  <si>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</si>
  <si>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</si>
  <si>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</si>
  <si>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</si>
  <si>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</si>
  <si>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</si>
  <si>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</si>
  <si>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</si>
  <si>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</si>
  <si>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</si>
  <si>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</si>
  <si>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</si>
  <si>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</si>
  <si>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</si>
  <si>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</si>
  <si>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</si>
  <si>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</si>
  <si>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</si>
  <si>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</si>
  <si>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</si>
  <si>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</si>
  <si>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</si>
  <si>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</si>
  <si>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</si>
  <si>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</si>
  <si>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</si>
  <si>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</si>
  <si>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</si>
  <si>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</si>
  <si>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</si>
  <si>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</si>
  <si>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</si>
  <si>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</si>
  <si>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</si>
  <si>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</si>
  <si>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</si>
  <si>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</si>
  <si>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</si>
  <si>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</si>
  <si>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</si>
  <si>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</si>
  <si>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</si>
  <si>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</si>
  <si>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</si>
  <si>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</si>
  <si>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</si>
  <si>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</si>
  <si>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</si>
  <si>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</si>
  <si>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</si>
  <si>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</si>
  <si>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</si>
  <si>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</si>
  <si>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</si>
  <si>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</si>
  <si>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</si>
  <si>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</si>
  <si>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</si>
  <si>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</si>
  <si>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</si>
  <si>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</si>
  <si>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</si>
  <si>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</si>
  <si>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</si>
  <si>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</si>
  <si>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</si>
  <si>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</si>
  <si>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</si>
  <si>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</si>
  <si>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</si>
  <si>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</si>
  <si>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</si>
  <si>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</si>
  <si>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</si>
  <si>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</si>
  <si>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</si>
  <si>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</si>
  <si>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</si>
  <si>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</si>
  <si>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</si>
  <si>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</si>
  <si>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</si>
  <si>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</si>
  <si>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</si>
  <si>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</si>
  <si>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</si>
  <si>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</si>
  <si>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</si>
  <si>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</si>
  <si>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</si>
  <si>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</si>
  <si>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</si>
  <si>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</si>
  <si>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</si>
  <si>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</si>
  <si>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</si>
  <si>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</si>
  <si>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</si>
  <si>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</si>
  <si>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</si>
  <si>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</si>
  <si>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</si>
  <si>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</si>
  <si>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</si>
  <si>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</si>
  <si>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</si>
  <si>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</si>
  <si>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</si>
  <si>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</si>
  <si>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</si>
  <si>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</si>
  <si>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</si>
  <si>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</si>
  <si>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</si>
  <si>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</si>
  <si>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</si>
  <si>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</si>
  <si>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</si>
  <si>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</si>
  <si>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</si>
  <si>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</si>
  <si>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</si>
  <si>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</si>
  <si>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</si>
  <si>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</si>
  <si>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</si>
  <si>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</si>
  <si>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</si>
  <si>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</si>
  <si>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</si>
  <si>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</si>
  <si>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</si>
  <si>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</si>
  <si>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</si>
  <si>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</si>
  <si>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</si>
  <si>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</si>
  <si>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</si>
  <si>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</si>
  <si>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</si>
  <si>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</si>
  <si>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</si>
  <si>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</si>
  <si>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</si>
  <si>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</si>
  <si>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</si>
  <si>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</si>
  <si>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</si>
  <si>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</si>
  <si>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</si>
  <si>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</si>
  <si>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</si>
  <si>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</si>
  <si>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</si>
  <si>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</si>
  <si>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</si>
  <si>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</si>
  <si>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</si>
  <si>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</si>
  <si>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</si>
  <si>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</si>
  <si>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</si>
  <si>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</si>
  <si>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</si>
  <si>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</si>
  <si>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</si>
  <si>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</si>
  <si>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</si>
  <si>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</si>
  <si>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</si>
  <si>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</si>
  <si>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</si>
  <si>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</si>
  <si>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</si>
  <si>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</si>
  <si>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</si>
  <si>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</si>
  <si>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</si>
  <si>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</si>
  <si>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</si>
  <si>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</si>
  <si>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</si>
  <si>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</si>
  <si>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</si>
  <si>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</si>
  <si>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</si>
  <si>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</si>
  <si>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</si>
  <si>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</si>
  <si>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</si>
  <si>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</si>
  <si>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</si>
  <si>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</si>
  <si>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</si>
  <si>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</si>
  <si>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</si>
  <si>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</si>
  <si>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</si>
  <si>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</si>
  <si>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</si>
  <si>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</si>
  <si>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</si>
  <si>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</si>
  <si>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</si>
  <si>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</si>
  <si>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</si>
  <si>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</si>
  <si>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</si>
  <si>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</si>
  <si>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</si>
  <si>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</si>
  <si>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</si>
  <si>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</si>
  <si>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</si>
  <si>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</si>
  <si>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</si>
  <si>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</si>
  <si>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</si>
  <si>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</si>
  <si>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</si>
  <si>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</si>
  <si>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</si>
  <si>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</si>
  <si>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</si>
  <si>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</si>
  <si>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</si>
  <si>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</si>
  <si>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</si>
  <si>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</si>
  <si>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</si>
  <si>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</si>
  <si>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</si>
  <si>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</si>
  <si>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</si>
  <si>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</si>
  <si>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</si>
  <si>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</si>
  <si>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</si>
  <si>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</si>
  <si>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</si>
  <si>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</si>
  <si>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</si>
  <si>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</si>
  <si>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</si>
  <si>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</si>
  <si>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</si>
  <si>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</si>
  <si>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</si>
  <si>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</si>
  <si>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</si>
  <si>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</si>
  <si>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</si>
  <si>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</si>
  <si>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</si>
  <si>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</si>
  <si>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</si>
  <si>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</si>
  <si>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</si>
  <si>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</si>
  <si>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</si>
  <si>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</si>
  <si>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</si>
  <si>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</si>
  <si>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</si>
  <si>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</si>
  <si>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</si>
  <si>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</si>
  <si>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</si>
  <si>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</si>
  <si>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</si>
  <si>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</si>
  <si>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</si>
  <si>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</si>
  <si>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</si>
  <si>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</si>
  <si>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</si>
  <si>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</si>
  <si>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</si>
  <si>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</si>
  <si>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</si>
  <si>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</si>
  <si>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</si>
  <si>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</si>
  <si>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</si>
  <si>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</si>
  <si>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</si>
  <si>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</si>
  <si>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</si>
  <si>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https://portal.eias.ru/Portal/DownloadPage.aspx?type=12&amp;guid=5fab97ec-cd62-4245-9099-9c8431903919</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</si>
  <si>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</si>
  <si>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</si>
  <si>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</si>
  <si>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</si>
  <si>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</si>
  <si>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</si>
  <si>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</si>
  <si>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</si>
  <si>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</si>
  <si>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</si>
  <si>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</si>
  <si>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</si>
  <si>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</si>
  <si>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</si>
  <si>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</si>
  <si>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</si>
  <si>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</si>
  <si>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</si>
  <si>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</si>
  <si>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</si>
  <si>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</si>
  <si>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</si>
  <si>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</si>
  <si>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</si>
  <si>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</si>
  <si>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</si>
  <si>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</si>
  <si>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</si>
  <si>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</si>
  <si>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</si>
  <si>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</si>
  <si>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</si>
  <si>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</si>
  <si>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</si>
  <si>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</si>
  <si>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</si>
  <si>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</si>
  <si>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</si>
  <si>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</si>
  <si>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</si>
  <si>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</si>
  <si>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</si>
  <si>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</si>
  <si>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</si>
  <si>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</si>
  <si>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</si>
  <si>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</si>
  <si>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</si>
  <si>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</si>
  <si>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</si>
  <si>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</si>
  <si>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</si>
  <si>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</si>
  <si>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</si>
  <si>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</si>
  <si>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</si>
  <si>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</si>
  <si>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</si>
  <si>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</si>
  <si>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</si>
  <si>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</si>
  <si>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</si>
  <si>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</si>
  <si>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</si>
  <si>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</si>
  <si>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</si>
  <si>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</si>
  <si>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</si>
  <si>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</si>
  <si>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</si>
  <si>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</si>
  <si>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</si>
  <si>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</si>
  <si>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</si>
  <si>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</si>
  <si>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</si>
  <si>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</si>
  <si>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</si>
  <si>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</si>
  <si>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</si>
  <si>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</si>
  <si>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</si>
  <si>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</si>
  <si>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</si>
  <si>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</si>
  <si>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</si>
  <si>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</si>
  <si>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</si>
  <si>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</si>
  <si>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</si>
  <si>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</si>
  <si>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</si>
  <si>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</si>
  <si>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</si>
  <si>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</si>
  <si>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</si>
  <si>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</si>
  <si>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</si>
  <si>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</si>
  <si>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</si>
  <si>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</si>
  <si>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</si>
  <si>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</si>
  <si>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</si>
  <si>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</si>
  <si>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</si>
  <si>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</si>
  <si>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</si>
  <si>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</si>
  <si>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</si>
  <si>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</si>
  <si>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</si>
  <si>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</si>
  <si>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</si>
  <si>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</si>
  <si>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</si>
  <si>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</si>
  <si>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</si>
  <si>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</si>
  <si>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</si>
  <si>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</si>
  <si>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</si>
  <si>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</si>
  <si>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</si>
  <si>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</si>
  <si>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</si>
  <si>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</si>
  <si>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</si>
  <si>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</si>
  <si>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</si>
  <si>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</si>
  <si>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</si>
  <si>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</si>
  <si>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</si>
  <si>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</si>
  <si>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</si>
  <si>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</si>
  <si>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</si>
  <si>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</si>
  <si>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</si>
  <si>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</si>
  <si>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</si>
  <si>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</si>
  <si>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</si>
  <si>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</si>
  <si>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</si>
  <si>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</si>
  <si>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</si>
  <si>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</si>
  <si>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</si>
  <si>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</si>
  <si>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</si>
  <si>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</si>
  <si>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</si>
  <si>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</si>
  <si>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</si>
  <si>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</si>
  <si>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</si>
  <si>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</si>
  <si>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</si>
  <si>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</si>
  <si>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</si>
  <si>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</si>
  <si>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</si>
  <si>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</si>
  <si>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</si>
  <si>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</si>
  <si>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</si>
  <si>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</si>
  <si>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</si>
  <si>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</si>
  <si>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</si>
  <si>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</si>
  <si>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</si>
  <si>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</si>
  <si>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</si>
  <si>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</si>
  <si>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</si>
  <si>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</si>
  <si>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</si>
  <si>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</si>
  <si>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</si>
  <si>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</si>
  <si>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</si>
  <si>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</si>
  <si>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</si>
  <si>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</si>
  <si>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</si>
  <si>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</si>
  <si>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</si>
  <si>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</si>
  <si>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</si>
  <si>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</si>
  <si>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</si>
  <si>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</si>
  <si>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</si>
  <si>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</si>
  <si>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</si>
  <si>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</si>
  <si>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</si>
  <si>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</si>
  <si>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</si>
  <si>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</si>
  <si>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</si>
  <si>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</si>
  <si>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</si>
  <si>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</si>
  <si>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</si>
  <si>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</si>
  <si>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</si>
  <si>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</si>
  <si>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</si>
  <si>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</si>
  <si>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</si>
  <si>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</si>
  <si>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</si>
  <si>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</si>
  <si>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</si>
  <si>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</si>
  <si>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</si>
  <si>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</si>
  <si>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</si>
  <si>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</si>
  <si>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</si>
  <si>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</si>
  <si>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</si>
  <si>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</si>
  <si>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</si>
  <si>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</si>
  <si>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</si>
  <si>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</si>
  <si>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</si>
  <si>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</si>
  <si>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</si>
  <si>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</si>
  <si>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</si>
  <si>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</si>
  <si>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</si>
  <si>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</si>
  <si>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</si>
  <si>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</si>
  <si>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</si>
  <si>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</si>
  <si>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</si>
  <si>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</si>
  <si>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</si>
  <si>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</si>
  <si>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</si>
  <si>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</si>
  <si>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</si>
  <si>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</si>
  <si>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</si>
  <si>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</si>
  <si>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</si>
  <si>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</si>
  <si>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</si>
  <si>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</si>
  <si>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</si>
  <si>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</si>
  <si>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</si>
  <si>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</si>
  <si>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</si>
  <si>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</si>
  <si>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</si>
  <si>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</si>
  <si>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</si>
  <si>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</si>
  <si>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</si>
  <si>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</si>
  <si>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</si>
  <si>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</si>
  <si>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</si>
  <si>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</si>
  <si>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</si>
  <si>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</si>
  <si>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</si>
  <si>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</si>
  <si>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</si>
  <si>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</si>
  <si>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</si>
  <si>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</si>
  <si>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</si>
  <si>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</si>
  <si>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</si>
  <si>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</si>
  <si>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</si>
  <si>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</si>
  <si>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</si>
  <si>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</si>
  <si>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</si>
  <si>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</si>
  <si>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</si>
  <si>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</si>
  <si>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</si>
  <si>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</si>
  <si>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</si>
  <si>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</si>
  <si>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</si>
  <si>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</si>
  <si>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</si>
  <si>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</si>
  <si>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</si>
  <si>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</si>
  <si>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</si>
  <si>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</si>
  <si>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</si>
  <si>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</si>
  <si>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</si>
  <si>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</si>
  <si>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</si>
  <si>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</si>
  <si>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</si>
  <si>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</si>
  <si>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</si>
  <si>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</si>
  <si>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</si>
  <si>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</si>
  <si>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</si>
  <si>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</si>
  <si>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</si>
  <si>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</si>
  <si>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</si>
  <si>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</si>
  <si>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</si>
  <si>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</si>
  <si>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</si>
  <si>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</si>
  <si>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</si>
  <si>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</si>
  <si>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</si>
  <si>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</si>
  <si>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</si>
  <si>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</si>
  <si>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</si>
  <si>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</si>
  <si>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</si>
  <si>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</si>
  <si>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</si>
  <si>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</si>
  <si>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</si>
  <si>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</si>
  <si>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</si>
  <si>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</si>
  <si>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</si>
  <si>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</si>
  <si>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</si>
  <si>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</si>
  <si>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</si>
  <si>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</si>
  <si>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</si>
  <si>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</si>
  <si>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</si>
  <si>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</si>
  <si>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</si>
  <si>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</si>
  <si>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</si>
  <si>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</si>
  <si>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</si>
  <si>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</si>
  <si>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</si>
  <si>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</si>
  <si>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</si>
  <si>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</si>
  <si>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</si>
  <si>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</si>
  <si>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</si>
  <si>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</si>
  <si>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</si>
  <si>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</si>
  <si>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</si>
  <si>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</si>
  <si>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</si>
  <si>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</si>
  <si>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</si>
  <si>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</si>
  <si>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</si>
  <si>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</si>
  <si>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</si>
  <si>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</si>
  <si>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</si>
  <si>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</si>
  <si>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</si>
  <si>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</si>
  <si>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</si>
  <si>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</si>
  <si>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</si>
  <si>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</si>
  <si>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</si>
  <si>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</si>
  <si>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</si>
  <si>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</si>
  <si>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</si>
  <si>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</si>
  <si>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</si>
  <si>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</si>
  <si>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</si>
  <si>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</si>
  <si>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</si>
  <si>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</si>
  <si>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</si>
  <si>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</si>
  <si>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</si>
  <si>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</si>
  <si>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</si>
  <si>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</si>
  <si>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</si>
  <si>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</si>
  <si>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</si>
  <si>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</si>
  <si>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</si>
  <si>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</si>
  <si>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</si>
  <si>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</si>
  <si>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</si>
  <si>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</si>
  <si>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</si>
  <si>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</si>
  <si>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</si>
  <si>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</si>
  <si>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</si>
  <si>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</si>
  <si>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</si>
  <si>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</si>
  <si>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</si>
  <si>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</si>
  <si>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</si>
  <si>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</si>
  <si>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</si>
  <si>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</si>
  <si>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</si>
  <si>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</si>
  <si>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</si>
  <si>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</si>
  <si>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</si>
  <si>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</si>
  <si>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</si>
  <si>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</si>
  <si>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</si>
  <si>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</si>
  <si>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</si>
  <si>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</si>
  <si>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</si>
  <si>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</si>
  <si>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</si>
  <si>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</si>
  <si>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</si>
  <si>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</si>
  <si>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</si>
  <si>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</si>
  <si>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</si>
  <si>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</si>
  <si>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</si>
  <si>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</si>
  <si>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</si>
  <si>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</si>
  <si>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</si>
  <si>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</si>
  <si>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</si>
  <si>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</si>
  <si>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</si>
  <si>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</si>
  <si>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</si>
  <si>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</si>
  <si>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</si>
  <si>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</si>
  <si>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</si>
  <si>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</si>
  <si>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</si>
  <si>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</si>
  <si>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</si>
  <si>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</si>
  <si>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</si>
  <si>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</si>
  <si>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</si>
  <si>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</si>
  <si>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</si>
  <si>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</si>
  <si>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</si>
  <si>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</si>
  <si>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</si>
  <si>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</si>
  <si>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</si>
  <si>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</si>
  <si>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</si>
  <si>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</si>
  <si>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</si>
  <si>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</si>
  <si>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</si>
  <si>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</si>
  <si>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</si>
  <si>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</si>
  <si>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</si>
  <si>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</si>
  <si>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</si>
  <si>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</si>
  <si>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</si>
  <si>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</si>
  <si>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</si>
  <si>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</si>
  <si>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</si>
  <si>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</si>
  <si>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</si>
  <si>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</si>
  <si>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</si>
  <si>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</si>
  <si>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</si>
  <si>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</si>
  <si>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</si>
  <si>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</si>
  <si>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</si>
  <si>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</si>
  <si>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</si>
  <si>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</si>
  <si>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</si>
  <si>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</si>
  <si>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</si>
  <si>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</si>
  <si>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</si>
  <si>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</si>
  <si>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</si>
  <si>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</si>
  <si>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</si>
  <si>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</si>
  <si>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</si>
  <si>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</si>
  <si>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</si>
  <si>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</si>
  <si>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</si>
  <si>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</si>
  <si>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</si>
  <si>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</si>
  <si>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</si>
  <si>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</si>
  <si>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</si>
  <si>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</si>
  <si>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</si>
  <si>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</si>
  <si>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</si>
  <si>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</si>
  <si>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</si>
  <si>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</si>
  <si>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</si>
  <si>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</si>
  <si>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</si>
  <si>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</si>
  <si>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</si>
  <si>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</si>
  <si>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</si>
  <si>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</si>
  <si>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</si>
  <si>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</si>
  <si>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</si>
  <si>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</si>
  <si>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</si>
  <si>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</si>
  <si>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</si>
  <si>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</si>
  <si>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</si>
  <si>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</si>
  <si>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</si>
  <si>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</si>
  <si>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</si>
  <si>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</si>
  <si>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</si>
  <si>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</si>
  <si>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</si>
  <si>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</si>
  <si>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</si>
  <si>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</si>
  <si>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</si>
  <si>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</si>
  <si>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</si>
  <si>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</si>
  <si>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</si>
  <si>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</si>
  <si>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</si>
  <si>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</si>
  <si>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</si>
  <si>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</si>
  <si>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</si>
  <si>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</si>
  <si>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</si>
  <si>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</si>
  <si>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</si>
  <si>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</si>
  <si>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</si>
  <si>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</si>
  <si>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</si>
  <si>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</si>
  <si>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</si>
  <si>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</si>
  <si>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</si>
  <si>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</si>
  <si>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</si>
  <si>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</si>
  <si>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</si>
  <si>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</si>
  <si>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</si>
  <si>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</si>
  <si>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</si>
  <si>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</si>
  <si>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</si>
  <si>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</si>
  <si>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</si>
  <si>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</si>
  <si>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</si>
  <si>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</si>
  <si>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</si>
  <si>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</si>
  <si>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</si>
  <si>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</si>
  <si>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</si>
  <si>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</si>
  <si>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</si>
  <si>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</si>
  <si>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</si>
  <si>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</si>
  <si>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</si>
  <si>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</si>
  <si>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</si>
  <si>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</si>
  <si>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</si>
  <si>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</si>
  <si>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</si>
  <si>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</si>
  <si>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</si>
  <si>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</si>
  <si>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</si>
  <si>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</si>
  <si>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</si>
  <si>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</si>
  <si>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</si>
  <si>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</si>
  <si>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</si>
  <si>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</si>
  <si>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</si>
  <si>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</si>
  <si>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</si>
  <si>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</si>
  <si>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</si>
  <si>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</si>
  <si>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</si>
  <si>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</si>
  <si>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</si>
  <si>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</si>
  <si>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</si>
  <si>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</si>
  <si>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</si>
  <si>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</si>
  <si>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</si>
  <si>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</si>
  <si>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</si>
  <si>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</si>
  <si>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</si>
  <si>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</si>
  <si>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</si>
  <si>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</si>
  <si>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</si>
  <si>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</si>
  <si>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</si>
  <si>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</si>
  <si>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</si>
  <si>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</si>
  <si>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</si>
  <si>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</si>
  <si>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</si>
  <si>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</si>
  <si>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</si>
  <si>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</si>
  <si>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</si>
  <si>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</si>
  <si>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</si>
  <si>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</si>
  <si>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</si>
  <si>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</si>
  <si>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</si>
  <si>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</si>
  <si>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</si>
  <si>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</si>
  <si>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</si>
  <si>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</si>
  <si>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</si>
  <si>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</si>
  <si>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</si>
  <si>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</si>
  <si>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</si>
  <si>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</si>
  <si>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</si>
  <si>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</si>
  <si>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</si>
  <si>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</si>
  <si>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</si>
  <si>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</si>
  <si>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</si>
  <si>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</si>
  <si>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</si>
  <si>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</si>
  <si>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</si>
  <si>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</si>
  <si>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</si>
  <si>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</si>
  <si>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</si>
  <si>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</si>
  <si>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</si>
  <si>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</si>
  <si>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</si>
  <si>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</si>
  <si>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</si>
  <si>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</si>
  <si>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</si>
  <si>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</si>
  <si>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</si>
  <si>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</si>
  <si>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</si>
  <si>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</si>
  <si>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</si>
  <si>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</si>
  <si>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</si>
  <si>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</si>
  <si>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</si>
  <si>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</si>
  <si>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</si>
  <si>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</si>
  <si>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</si>
  <si>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</si>
  <si>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</si>
  <si>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</si>
  <si>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</si>
  <si>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</si>
  <si>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</si>
  <si>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</si>
  <si>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</si>
  <si>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</si>
  <si>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</si>
  <si>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</si>
  <si>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</si>
  <si>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</si>
  <si>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</si>
  <si>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</si>
  <si>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</si>
  <si>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</si>
  <si>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</si>
  <si>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</si>
  <si>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</si>
  <si>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</si>
  <si>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</si>
  <si>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</si>
  <si>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</si>
  <si>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</si>
  <si>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</si>
  <si>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</si>
  <si>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</si>
  <si>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</si>
  <si>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</si>
  <si>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</si>
  <si>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</si>
  <si>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</si>
  <si>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</si>
  <si>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</si>
  <si>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</si>
  <si>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</si>
  <si>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</si>
  <si>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</si>
  <si>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</si>
  <si>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</si>
  <si>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</si>
  <si>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</si>
  <si>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</si>
  <si>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</si>
  <si>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</si>
  <si>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</si>
  <si>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</si>
  <si>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</si>
  <si>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</si>
  <si>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</si>
  <si>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</si>
  <si>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</si>
  <si>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</si>
  <si>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</si>
  <si>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</si>
  <si>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</si>
  <si>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</si>
  <si>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</si>
  <si>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</si>
  <si>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</si>
  <si>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</si>
  <si>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</si>
  <si>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</si>
  <si>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</si>
  <si>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</si>
  <si>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</si>
  <si>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</si>
  <si>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</si>
  <si>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</si>
  <si>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</si>
  <si>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</si>
  <si>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</si>
  <si>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</si>
  <si>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</si>
  <si>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</si>
  <si>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</si>
  <si>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</si>
  <si>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</si>
  <si>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</si>
  <si>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</si>
  <si>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</si>
  <si>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</si>
  <si>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</si>
  <si>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</si>
  <si>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</si>
  <si>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</si>
  <si>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</si>
  <si>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</si>
  <si>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</si>
  <si>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</si>
  <si>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</si>
  <si>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</si>
  <si>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</si>
  <si>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</si>
  <si>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</si>
  <si>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</si>
  <si>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</si>
  <si>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</si>
  <si>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</si>
  <si>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</si>
  <si>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</si>
  <si>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</si>
  <si>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</si>
  <si>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</si>
  <si>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</si>
  <si>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</si>
  <si>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</si>
  <si>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</si>
  <si>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</si>
  <si>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</si>
  <si>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</si>
  <si>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</si>
  <si>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</si>
  <si>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</si>
  <si>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</si>
  <si>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</si>
  <si>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</si>
  <si>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</si>
  <si>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</si>
  <si>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</si>
  <si>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</si>
  <si>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</si>
  <si>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</si>
  <si>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</si>
  <si>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</si>
  <si>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</si>
  <si>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</si>
  <si>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</si>
  <si>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</si>
  <si>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</si>
  <si>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</si>
  <si>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</si>
  <si>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</si>
  <si>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</si>
  <si>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</si>
  <si>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</si>
  <si>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</si>
  <si>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</si>
  <si>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</si>
  <si>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</si>
  <si>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</si>
  <si>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</si>
  <si>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</si>
  <si>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</si>
  <si>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</si>
  <si>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</si>
  <si>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</si>
  <si>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</si>
  <si>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</si>
  <si>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</si>
  <si>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</si>
  <si>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</si>
  <si>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</si>
  <si>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</si>
  <si>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</si>
  <si>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</si>
  <si>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</si>
  <si>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</si>
  <si>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</si>
  <si>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</si>
  <si>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</si>
  <si>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</si>
  <si>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</si>
  <si>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</si>
  <si>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</si>
  <si>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</si>
  <si>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</si>
  <si>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</si>
  <si>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</si>
  <si>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</si>
  <si>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</si>
  <si>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</si>
  <si>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</si>
  <si>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</si>
  <si>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</si>
  <si>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</si>
  <si>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</si>
  <si>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</si>
  <si>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</si>
  <si>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</si>
  <si>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</si>
  <si>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</si>
  <si>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</si>
  <si>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</si>
  <si>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</si>
  <si>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</si>
  <si>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</si>
  <si>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</si>
  <si>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</si>
  <si>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</si>
  <si>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</si>
  <si>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</si>
  <si>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</si>
  <si>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</si>
  <si>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</si>
  <si>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</si>
  <si>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</si>
  <si>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</si>
  <si>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</si>
  <si>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</si>
  <si>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</si>
  <si>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</si>
  <si>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</si>
  <si>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</si>
  <si>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</si>
  <si>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</si>
  <si>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</si>
  <si>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</si>
  <si>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</si>
  <si>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</si>
  <si>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</si>
  <si>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</si>
  <si>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</si>
  <si>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</si>
  <si>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</si>
  <si>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</si>
  <si>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</si>
  <si>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</si>
  <si>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</si>
  <si>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</si>
  <si>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</si>
  <si>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</si>
  <si>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</si>
  <si>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</si>
  <si>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</si>
  <si>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</si>
  <si>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</si>
  <si>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</si>
  <si>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</si>
  <si>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</si>
  <si>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</si>
  <si>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</si>
  <si>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</si>
  <si>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</si>
  <si>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</si>
  <si>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</si>
  <si>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</si>
  <si>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</si>
  <si>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</si>
  <si>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</si>
  <si>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</si>
  <si>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</si>
  <si>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</si>
  <si>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</si>
  <si>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</si>
  <si>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</si>
  <si>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</si>
  <si>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</si>
  <si>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</si>
  <si>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</si>
  <si>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</si>
  <si>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</si>
  <si>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</si>
  <si>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</si>
  <si>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</si>
  <si>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</si>
  <si>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</si>
  <si>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</si>
  <si>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</si>
  <si>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</si>
  <si>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</si>
  <si>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</si>
  <si>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</si>
  <si>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</si>
  <si>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</si>
  <si>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</si>
  <si>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</si>
  <si>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</si>
  <si>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</si>
  <si>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</si>
  <si>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</si>
  <si>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</si>
  <si>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</si>
  <si>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</si>
  <si>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</si>
  <si>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</si>
  <si>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</si>
  <si>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</si>
  <si>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</si>
  <si>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</si>
  <si>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</si>
  <si>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</si>
  <si>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</si>
  <si>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</si>
  <si>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</si>
  <si>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</si>
  <si>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</si>
  <si>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</si>
  <si>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</si>
  <si>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</si>
  <si>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</si>
  <si>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</si>
  <si>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</si>
  <si>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</si>
  <si>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</si>
  <si>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</si>
  <si>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</si>
  <si>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</si>
  <si>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</si>
  <si>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</si>
  <si>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</si>
  <si>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</si>
  <si>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</si>
  <si>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</si>
  <si>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</si>
  <si>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</si>
  <si>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</si>
  <si>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</si>
  <si>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</si>
  <si>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</si>
  <si>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</si>
  <si>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</si>
  <si>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</si>
  <si>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</si>
  <si>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</si>
  <si>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</si>
  <si>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</si>
  <si>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</si>
  <si>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</si>
  <si>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</si>
  <si>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</si>
  <si>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</si>
  <si>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</si>
  <si>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</si>
  <si>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</si>
  <si>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</si>
  <si>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</si>
  <si>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</si>
  <si>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</si>
  <si>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</si>
  <si>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</si>
  <si>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</si>
  <si>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</si>
  <si>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</si>
  <si>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</si>
  <si>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</si>
  <si>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</si>
  <si>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</si>
  <si>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</si>
  <si>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</si>
  <si>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</si>
  <si>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</si>
  <si>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</si>
  <si>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</si>
  <si>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</si>
  <si>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</si>
  <si>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</si>
  <si>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</si>
  <si>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</si>
  <si>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</si>
  <si>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</si>
  <si>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</si>
  <si>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</si>
  <si>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</si>
  <si>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</si>
  <si>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</si>
  <si>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</si>
  <si>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</si>
  <si>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</si>
  <si>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</si>
  <si>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</si>
  <si>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</si>
  <si>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</si>
  <si>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</si>
  <si>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</si>
  <si>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</si>
  <si>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</si>
  <si>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</si>
  <si>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</si>
  <si>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</si>
  <si>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</si>
  <si>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</si>
  <si>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</si>
  <si>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</si>
  <si>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</si>
  <si>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</si>
  <si>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</si>
  <si>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</si>
  <si>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</si>
  <si>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</si>
  <si>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</si>
  <si>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</si>
  <si>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</si>
  <si>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</si>
  <si>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</si>
  <si>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</si>
  <si>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</si>
  <si>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</si>
  <si>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</si>
  <si>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</si>
  <si>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</si>
  <si>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</si>
  <si>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</si>
  <si>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</si>
  <si>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</si>
  <si>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</si>
  <si>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</si>
  <si>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</si>
  <si>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</si>
  <si>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</si>
  <si>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</si>
  <si>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</si>
  <si>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</si>
  <si>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</si>
  <si>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</si>
  <si>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</si>
  <si>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</si>
  <si>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</si>
  <si>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</si>
  <si>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</si>
  <si>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</si>
  <si>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</si>
  <si>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</si>
  <si>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</si>
  <si>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</si>
  <si>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</si>
  <si>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</si>
  <si>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</si>
  <si>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</si>
  <si>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</si>
  <si>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</si>
  <si>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</si>
  <si>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</si>
  <si>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</si>
  <si>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</si>
  <si>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</si>
  <si>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</si>
  <si>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</si>
  <si>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</si>
  <si>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</si>
  <si>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</si>
  <si>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</si>
  <si>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</si>
  <si>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</si>
  <si>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</si>
  <si>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</si>
  <si>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</si>
  <si>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</si>
  <si>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</si>
  <si>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</si>
  <si>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</si>
  <si>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</si>
  <si>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</si>
  <si>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</si>
  <si>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</si>
  <si>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</si>
  <si>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</si>
  <si>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</si>
  <si>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</si>
  <si>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</si>
  <si>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</si>
  <si>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</si>
  <si>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</si>
  <si>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</si>
  <si>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</si>
  <si>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</si>
  <si>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</si>
  <si>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</si>
  <si>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</si>
  <si>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</si>
  <si>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</si>
  <si>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</si>
  <si>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</si>
  <si>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</si>
  <si>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</si>
  <si>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</si>
  <si>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</si>
  <si>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</si>
  <si>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</si>
  <si>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</si>
  <si>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</si>
  <si>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</si>
  <si>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</si>
  <si>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</si>
  <si>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</si>
  <si>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</si>
  <si>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</si>
  <si>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</si>
  <si>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</si>
  <si>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</si>
  <si>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</si>
  <si>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</si>
  <si>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</si>
  <si>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</si>
  <si>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</si>
  <si>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</si>
  <si>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</si>
  <si>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</si>
  <si>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</si>
  <si>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</si>
  <si>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</si>
  <si>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</si>
  <si>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</si>
  <si>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</si>
  <si>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</si>
  <si>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</si>
  <si>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</si>
  <si>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</si>
  <si>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</si>
  <si>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</si>
  <si>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</si>
  <si>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</si>
  <si>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</si>
  <si>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</si>
  <si>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</si>
  <si>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</si>
  <si>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</si>
  <si>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</si>
  <si>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</si>
  <si>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</si>
  <si>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</si>
  <si>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</si>
  <si>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</si>
  <si>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</si>
  <si>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</si>
  <si>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</si>
  <si>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</si>
  <si>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</si>
  <si>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</si>
  <si>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</si>
  <si>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</si>
  <si>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</si>
  <si>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</si>
  <si>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</si>
  <si>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</si>
  <si>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</si>
  <si>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</si>
  <si>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</si>
  <si>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</si>
  <si>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</si>
  <si>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</si>
  <si>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</si>
  <si>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</si>
  <si>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</si>
  <si>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</si>
  <si>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</si>
  <si>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</si>
  <si>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</si>
  <si>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</si>
  <si>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</si>
  <si>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</si>
  <si>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</si>
  <si>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</si>
  <si>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</si>
  <si>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</si>
  <si>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</si>
  <si>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</si>
  <si>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</si>
  <si>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</si>
  <si>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</si>
  <si>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</si>
  <si>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</si>
  <si>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</si>
  <si>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</si>
  <si>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</si>
  <si>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</si>
  <si>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</si>
  <si>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</si>
  <si>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</si>
  <si>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</si>
  <si>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</si>
  <si>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</si>
  <si>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</si>
  <si>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</si>
  <si>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</si>
  <si>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</si>
  <si>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</si>
  <si>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</si>
  <si>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</si>
  <si>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</si>
  <si>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</si>
  <si>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</si>
  <si>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</si>
  <si>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</si>
  <si>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</si>
  <si>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</si>
  <si>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</si>
  <si>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</si>
  <si>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</si>
  <si>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</si>
  <si>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</si>
  <si>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</si>
  <si>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</si>
  <si>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</si>
  <si>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</si>
  <si>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</si>
  <si>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</si>
  <si>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</si>
  <si>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</si>
  <si>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</si>
  <si>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</si>
  <si>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</si>
  <si>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</si>
  <si>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</si>
  <si>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</si>
  <si>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</si>
  <si>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</si>
  <si>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</si>
  <si>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</si>
  <si>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</si>
  <si>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</si>
  <si>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</si>
  <si>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</si>
  <si>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</si>
  <si>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</si>
  <si>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</si>
  <si>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</si>
  <si>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</si>
  <si>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</si>
  <si>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</si>
  <si>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</si>
  <si>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</si>
  <si>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</si>
  <si>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</si>
  <si>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</si>
  <si>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</si>
  <si>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</si>
  <si>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</si>
  <si>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</si>
  <si>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</si>
  <si>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</si>
  <si>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</si>
  <si>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</si>
  <si>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</si>
  <si>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</si>
  <si>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</si>
  <si>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</si>
  <si>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</si>
  <si>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</si>
  <si>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</si>
  <si>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</si>
  <si>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</si>
  <si>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</si>
  <si>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</si>
  <si>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</si>
  <si>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</si>
  <si>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</si>
  <si>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</si>
  <si>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</si>
  <si>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</si>
  <si>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</si>
  <si>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</si>
  <si>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</si>
  <si>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</si>
  <si>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</si>
  <si>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</si>
  <si>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</si>
  <si>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</si>
  <si>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</si>
  <si>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</si>
  <si>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</si>
  <si>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</si>
  <si>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</si>
  <si>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</si>
  <si>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</si>
  <si>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</si>
  <si>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</si>
  <si>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</si>
  <si>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</si>
  <si>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</si>
  <si>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</si>
  <si>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</si>
  <si>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</si>
  <si>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</si>
  <si>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</si>
  <si>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</si>
  <si>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</si>
  <si>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</si>
  <si>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</si>
  <si>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</si>
  <si>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</si>
  <si>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</si>
  <si>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</si>
  <si>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</si>
  <si>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</si>
  <si>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</si>
  <si>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</si>
  <si>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</si>
  <si>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</si>
  <si>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</si>
  <si>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</si>
  <si>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</si>
  <si>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</si>
  <si>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</si>
  <si>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</si>
  <si>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</si>
  <si>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</si>
  <si>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</si>
  <si>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</si>
  <si>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</si>
  <si>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</si>
  <si>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</si>
  <si>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</si>
  <si>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</si>
  <si>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</si>
  <si>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</si>
  <si>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</si>
  <si>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</si>
  <si>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</si>
  <si>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</si>
  <si>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</si>
  <si>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</si>
  <si>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</si>
  <si>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</si>
  <si>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</si>
  <si>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</si>
  <si>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</si>
  <si>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</si>
  <si>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</si>
  <si>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</si>
  <si>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</si>
  <si>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</si>
  <si>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</si>
  <si>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</si>
  <si>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</si>
  <si>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</si>
  <si>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</si>
  <si>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</si>
  <si>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</si>
  <si>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</si>
  <si>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</si>
  <si>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</si>
  <si>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</si>
  <si>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</si>
  <si>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</si>
  <si>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</si>
  <si>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</si>
  <si>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</si>
  <si>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</si>
  <si>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</si>
  <si>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</si>
  <si>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</si>
  <si>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</si>
  <si>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</si>
  <si>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</si>
  <si>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</si>
  <si>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</si>
  <si>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</si>
  <si>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</si>
  <si>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</si>
  <si>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</si>
  <si>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</si>
  <si>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</si>
  <si>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</si>
  <si>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</si>
  <si>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</si>
  <si>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</si>
  <si>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</si>
  <si>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</si>
  <si>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</si>
  <si>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</si>
  <si>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</si>
  <si>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</si>
  <si>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</si>
  <si>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</si>
  <si>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</si>
  <si>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</si>
  <si>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</si>
  <si>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</si>
  <si>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</si>
  <si>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</si>
  <si>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</si>
  <si>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</si>
  <si>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</si>
  <si>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</si>
  <si>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</si>
  <si>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</si>
  <si>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</si>
  <si>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</si>
  <si>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</si>
  <si>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</si>
  <si>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</si>
  <si>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</si>
  <si>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</si>
  <si>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</si>
  <si>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</si>
  <si>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</si>
  <si>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</si>
  <si>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</si>
  <si>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</si>
  <si>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</si>
  <si>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</si>
  <si>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</si>
  <si>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</si>
  <si>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</si>
  <si>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</si>
  <si>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</si>
  <si>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</si>
  <si>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</si>
  <si>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</si>
  <si>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</si>
  <si>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</si>
  <si>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</si>
  <si>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</si>
  <si>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</si>
  <si>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</si>
  <si>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</si>
  <si>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</si>
  <si>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</si>
  <si>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</si>
  <si>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</si>
  <si>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</si>
  <si>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</si>
  <si>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</si>
  <si>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</si>
  <si>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</si>
  <si>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</si>
  <si>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</si>
  <si>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</si>
  <si>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</si>
  <si>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</si>
  <si>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</si>
  <si>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</si>
  <si>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</si>
  <si>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</si>
  <si>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</si>
  <si>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</si>
  <si>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</si>
  <si>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</si>
  <si>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</si>
  <si>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</si>
  <si>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</si>
  <si>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</si>
  <si>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</si>
  <si>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</si>
  <si>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</si>
  <si>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</si>
  <si>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</si>
  <si>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</si>
  <si>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</si>
  <si>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</si>
  <si>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</si>
  <si>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</si>
  <si>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</si>
  <si>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</si>
  <si>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</si>
  <si>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</si>
  <si>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</si>
  <si>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</si>
  <si>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</si>
  <si>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</si>
  <si>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</si>
  <si>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</si>
  <si>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</si>
  <si>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</si>
  <si>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</si>
  <si>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</si>
  <si>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</si>
  <si>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</si>
  <si>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</si>
  <si>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</si>
  <si>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</si>
  <si>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</si>
  <si>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</si>
  <si>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</si>
  <si>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</si>
  <si>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</si>
  <si>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</si>
  <si>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</si>
  <si>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</si>
  <si>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</si>
  <si>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</si>
  <si>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</si>
  <si>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</si>
  <si>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</si>
  <si>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</si>
  <si>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</si>
  <si>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</si>
  <si>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</si>
  <si>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26451918</t>
  </si>
  <si>
    <t>ОАО "Энгельсские городские тепловые сети"</t>
  </si>
  <si>
    <t>6449053070</t>
  </si>
  <si>
    <t>28053838</t>
  </si>
  <si>
    <t>ООО " Ровное ЖКС"</t>
  </si>
  <si>
    <t>6428005170</t>
  </si>
  <si>
    <t>642801001</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</si>
  <si>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</si>
  <si>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</si>
  <si>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</si>
  <si>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</si>
  <si>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</si>
  <si>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</si>
  <si>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</si>
  <si>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</si>
  <si>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</si>
  <si>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</si>
  <si>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</si>
  <si>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</si>
  <si>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</si>
  <si>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</si>
  <si>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</si>
  <si>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</si>
  <si>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</si>
  <si>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</si>
  <si>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</si>
  <si>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</si>
  <si>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</si>
  <si>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</si>
  <si>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</si>
  <si>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</si>
  <si>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</si>
  <si>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</si>
  <si>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</si>
  <si>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</si>
  <si>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</si>
  <si>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</si>
  <si>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</si>
  <si>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</si>
  <si>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</si>
  <si>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</si>
  <si>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</si>
  <si>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</si>
  <si>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</si>
  <si>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</si>
  <si>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</si>
  <si>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</si>
  <si>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</si>
  <si>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</si>
  <si>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</si>
  <si>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</si>
  <si>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</si>
  <si>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</si>
  <si>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</si>
  <si>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</si>
  <si>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</si>
  <si>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</si>
  <si>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</si>
  <si>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</si>
  <si>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</si>
  <si>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</si>
  <si>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</si>
  <si>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</si>
  <si>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</si>
  <si>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</si>
  <si>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</si>
  <si>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</si>
  <si>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</si>
  <si>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</si>
  <si>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</si>
  <si>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</si>
  <si>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</si>
  <si>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</si>
  <si>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</si>
  <si>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</si>
  <si>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</si>
  <si>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</si>
  <si>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</si>
  <si>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</si>
  <si>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</si>
  <si>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</si>
  <si>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</si>
  <si>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</si>
  <si>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</si>
  <si>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</si>
  <si>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</si>
  <si>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</si>
  <si>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</si>
  <si>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</si>
  <si>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</si>
  <si>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</si>
  <si>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</si>
  <si>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</si>
  <si>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</si>
  <si>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</si>
  <si>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</si>
  <si>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</si>
  <si>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</si>
  <si>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</si>
  <si>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</si>
  <si>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</si>
  <si>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</si>
  <si>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</si>
  <si>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</si>
  <si>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</si>
  <si>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</si>
  <si>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</si>
  <si>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</si>
  <si>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</si>
  <si>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</si>
  <si>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</si>
  <si>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</si>
  <si>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</si>
  <si>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</si>
  <si>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</si>
  <si>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</si>
  <si>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</si>
  <si>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</si>
  <si>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</si>
  <si>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</si>
  <si>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</si>
  <si>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</si>
  <si>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</si>
  <si>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</si>
  <si>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</si>
  <si>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</si>
  <si>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</si>
  <si>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</si>
  <si>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</si>
  <si>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</si>
  <si>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</si>
  <si>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</si>
  <si>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</si>
  <si>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</si>
  <si>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</si>
  <si>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</si>
  <si>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</si>
  <si>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</si>
  <si>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</si>
  <si>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</si>
  <si>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</si>
  <si>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</si>
  <si>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</si>
  <si>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</si>
  <si>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</si>
  <si>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</si>
  <si>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</si>
  <si>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</si>
  <si>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</si>
  <si>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</si>
  <si>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</si>
  <si>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</si>
  <si>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</si>
  <si>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</si>
  <si>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</si>
  <si>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</si>
  <si>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</si>
  <si>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</si>
  <si>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</si>
  <si>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</si>
  <si>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</si>
  <si>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</si>
  <si>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</si>
  <si>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</si>
  <si>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</si>
  <si>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</si>
  <si>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</si>
  <si>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</si>
  <si>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</si>
  <si>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</si>
  <si>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</si>
  <si>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</si>
  <si>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</si>
  <si>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</si>
  <si>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</si>
  <si>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</si>
  <si>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</si>
  <si>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</si>
  <si>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</si>
  <si>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</si>
  <si>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</si>
  <si>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</si>
  <si>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</si>
  <si>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</si>
  <si>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</si>
  <si>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</si>
  <si>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</si>
  <si>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</si>
  <si>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</si>
  <si>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</si>
  <si>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</si>
  <si>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</si>
  <si>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</si>
  <si>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</si>
  <si>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</si>
  <si>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</si>
  <si>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</si>
  <si>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</si>
  <si>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</si>
  <si>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</si>
  <si>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</si>
  <si>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</si>
  <si>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</si>
  <si>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</si>
  <si>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</si>
  <si>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</si>
  <si>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</si>
  <si>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</si>
  <si>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</si>
  <si>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</si>
  <si>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</si>
  <si>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</si>
  <si>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</si>
  <si>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</si>
  <si>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</si>
  <si>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</si>
  <si>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</si>
  <si>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</si>
  <si>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</si>
  <si>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</si>
  <si>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</si>
  <si>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</si>
  <si>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</si>
  <si>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</si>
  <si>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</si>
  <si>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</si>
  <si>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</si>
  <si>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</si>
  <si>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</si>
  <si>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</si>
  <si>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</si>
  <si>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</si>
  <si>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</si>
  <si>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</si>
  <si>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</si>
  <si>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</si>
  <si>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</si>
  <si>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</si>
  <si>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</si>
  <si>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</si>
  <si>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</si>
  <si>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</si>
  <si>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</si>
  <si>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</si>
  <si>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</si>
  <si>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</si>
  <si>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</si>
  <si>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</si>
  <si>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</si>
  <si>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</si>
  <si>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</si>
  <si>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</si>
  <si>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</si>
  <si>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</si>
  <si>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</si>
  <si>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</si>
  <si>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</si>
  <si>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</si>
  <si>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</si>
  <si>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</si>
  <si>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</si>
  <si>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</si>
  <si>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</si>
  <si>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</si>
  <si>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</si>
  <si>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</si>
  <si>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</si>
  <si>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</si>
  <si>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</si>
  <si>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</si>
  <si>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</si>
  <si>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</si>
  <si>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</si>
  <si>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</si>
  <si>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</si>
  <si>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</si>
  <si>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</si>
  <si>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</si>
  <si>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</si>
  <si>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</si>
  <si>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</si>
  <si>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</si>
  <si>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</si>
  <si>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</si>
  <si>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</si>
  <si>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</si>
  <si>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</si>
  <si>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</si>
  <si>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</si>
  <si>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</si>
  <si>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</si>
  <si>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</si>
  <si>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</si>
  <si>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</si>
  <si>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</si>
  <si>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</si>
  <si>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</si>
  <si>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</si>
  <si>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</si>
  <si>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</si>
  <si>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</si>
  <si>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</si>
  <si>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</si>
  <si>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</si>
  <si>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</si>
  <si>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</si>
  <si>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31681878</t>
  </si>
  <si>
    <t>ГАУ СО "Адоевщинский Дом-Интернат для Граждан, Имеющих Психические Расстройства"</t>
  </si>
  <si>
    <t>6404001508</t>
  </si>
  <si>
    <t>27735253</t>
  </si>
  <si>
    <t>ГАУ СО "Аткарский дом-интернат для престарелых и инвалидов"</t>
  </si>
  <si>
    <t>6438005540</t>
  </si>
  <si>
    <t>07-06-2012 00:00:00</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</si>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</sst>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435" formatCode="000000"/>
    <numFmt numFmtId="436" formatCode="#,##0.000"/>
    <numFmt numFmtId="437" formatCode="#,##0.0000"/>
    <numFmt numFmtId="438" formatCode="dd\.mm\.yyyy"/>
    <numFmt numFmtId="439" formatCode="h:mm;@"/>
  </numFmts>
  <fonts count="98">
    <font>
      <sz val="11"/>
      <color rgb="FF000000"/>
      <name val="Calibri"/>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FFFFFF"/>
      <name val="Tahoma"/>
    </font>
    <font>
      <b/>
      <sz val="10"/>
      <color auto="1"/>
      <name val="Tahoma"/>
    </font>
    <font>
      <sz val="10"/>
      <color auto="1"/>
      <name val="Tahoma"/>
    </font>
    <font>
      <sz val="11"/>
      <color rgb="FF000000"/>
      <name val="Tahoma"/>
    </font>
    <font>
      <sz val="9"/>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sz val="7"/>
      <color rgb="FF000000"/>
      <name val="Tahoma"/>
    </font>
    <font>
      <sz val="9"/>
      <color rgb="FFFF0000"/>
      <name val="Tahoma"/>
    </font>
    <font>
      <sz val="10"/>
      <color rgb="FF000000"/>
      <name val="Arial"/>
    </font>
    <font>
      <sz val="9"/>
      <color rgb="FF333399"/>
      <name val="Tahoma"/>
    </font>
    <font>
      <sz val="11"/>
      <color auto="1"/>
      <name val="Webdings2"/>
    </font>
    <font>
      <b/>
      <sz val="9"/>
      <color rgb="FF000000"/>
      <name val="Tahoma"/>
    </font>
    <font>
      <sz val="8"/>
      <color theme="0"/>
      <name val="Tahoma"/>
    </font>
    <font>
      <b/>
      <sz val="8"/>
      <color theme="0"/>
      <name val="Wingdings 2"/>
    </font>
    <font>
      <b/>
      <sz val="8"/>
      <color rgb="FFC0C0C0"/>
      <name val="Wingdings 2"/>
    </font>
    <font>
      <sz val="8"/>
      <color rgb="FF000080"/>
      <name val="Tahoma"/>
    </font>
    <font>
      <sz val="12"/>
      <color theme="0"/>
      <name val="Tahoma"/>
    </font>
    <font>
      <sz val="11"/>
      <color theme="0"/>
      <name val="Tahoma"/>
    </font>
    <font>
      <b/>
      <u/>
      <sz val="9"/>
      <color rgb="FF000080"/>
      <name val="Tahoma"/>
    </font>
    <font>
      <u/>
      <sz val="1"/>
      <color rgb="FF333399"/>
      <name val="Tahoma"/>
    </font>
    <font>
      <b/>
      <sz val="1"/>
      <color theme="0"/>
      <name val="Tahoma"/>
    </font>
    <font>
      <sz val="1"/>
      <color auto="1"/>
      <name val="Webdings2"/>
    </font>
    <font>
      <sz val="1"/>
      <color theme="0"/>
      <name val="Webdings2"/>
    </font>
    <font>
      <sz val="11"/>
      <color theme="0"/>
      <name val="Webdings2"/>
    </font>
    <font>
      <b/>
      <sz val="1"/>
      <color rgb="FF000080"/>
      <name val="Tahoma"/>
    </font>
    <font>
      <sz val="1"/>
      <color rgb="FF000080"/>
      <name val="Tahoma"/>
    </font>
    <font>
      <sz val="14"/>
      <color rgb="FFBCBCBC"/>
      <name val="Calibri"/>
    </font>
    <font>
      <sz val="12"/>
      <color auto="1"/>
      <name val="Tahoma"/>
    </font>
    <font>
      <sz val="1"/>
      <color theme="0"/>
      <name val="Wingdings 2"/>
    </font>
    <font>
      <sz val="15"/>
      <color theme="0"/>
      <name val="Tahoma"/>
    </font>
    <font>
      <sz val="15"/>
      <color auto="1"/>
      <name val="Tahoma"/>
    </font>
    <font>
      <b/>
      <sz val="9"/>
      <color rgb="FFCC0000"/>
      <name val="Tahoma"/>
    </font>
    <font>
      <sz val="8"/>
      <color rgb="FFFFFFFF"/>
      <name val="Tahoma"/>
    </font>
    <font>
      <b/>
      <sz val="9"/>
      <color rgb="FFFFFFFF"/>
      <name val="Tahoma"/>
    </font>
    <font>
      <sz val="15"/>
      <color rgb="FF000000"/>
      <name val="Tahoma"/>
    </font>
    <font>
      <sz val="18"/>
      <color theme="0"/>
      <name val="Tahoma"/>
    </font>
    <font>
      <u/>
      <sz val="9"/>
      <color auto="1"/>
      <name val="Tahoma"/>
    </font>
    <font>
      <b/>
      <u/>
      <sz val="9"/>
      <color auto="1"/>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C0C0C0"/>
      </patternFill>
    </fill>
    <fill>
      <patternFill patternType="solid">
        <fgColor rgb="FF0066CC"/>
      </patternFill>
    </fill>
    <fill>
      <patternFill patternType="solid">
        <fgColor rgb="FFFF9900"/>
      </patternFill>
    </fill>
    <fill>
      <patternFill patternType="solid">
        <fgColor rgb="FF808000"/>
      </patternFill>
    </fill>
    <fill>
      <patternFill patternType="solid">
        <fgColor rgb="FFCC99FF"/>
      </patternFill>
    </fill>
    <fill>
      <patternFill patternType="solid">
        <fgColor rgb="FFFFFF00"/>
      </patternFill>
    </fill>
    <fill>
      <patternFill patternType="solid">
        <fgColor rgb="FFCCCCFF"/>
      </patternFill>
    </fill>
    <fill>
      <patternFill patternType="solid">
        <fgColor rgb="FFFFB7B7"/>
      </patternFill>
    </fill>
    <fill>
      <patternFill patternType="lightDown">
        <fgColor rgb="FFB7E4FF"/>
        <bgColor rgb="FFFFFFFF"/>
      </patternFill>
    </fill>
    <fill>
      <patternFill patternType="solid">
        <fgColor rgb="FFEAEBEE"/>
      </patternFill>
    </fill>
    <fill>
      <patternFill patternType="solid">
        <fgColor rgb="FF00CCFF"/>
      </patternFill>
    </fill>
    <fill>
      <patternFill patternType="solid">
        <fgColor rgb="FF8DB4E2"/>
      </patternFill>
    </fill>
    <fill>
      <patternFill patternType="solid">
        <fgColor theme="2" tint="-0.1"/>
      </patternFill>
    </fill>
    <fill>
      <patternFill patternType="solid">
        <fgColor theme="9" tint="-0.25"/>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theme="0" tint="-0.25"/>
      </left>
      <right style="thin">
        <color theme="0" tint="-0.25"/>
      </right>
      <top style="thin">
        <color theme="0" tint="-0.25"/>
      </top>
      <bottom style="thin">
        <color theme="0" tint="-0.25"/>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theme="0" tint="-0.25"/>
      </left>
      <right style="thin">
        <color theme="0" tint="-0.25"/>
      </right>
      <top/>
      <bottom style="thin">
        <color theme="0" tint="-0.25"/>
      </bottom>
    </border>
    <border>
      <left style="thin">
        <color theme="0" tint="-0.25"/>
      </left>
      <right/>
      <top/>
      <bottom style="thin">
        <color theme="0" tint="-0.25"/>
      </bottom>
    </border>
    <border>
      <left style="thin">
        <color theme="0" tint="-0.25"/>
      </left>
      <right/>
      <top style="thin">
        <color theme="0" tint="-0.25"/>
      </top>
      <bottom style="thin">
        <color theme="0" tint="-0.25"/>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style="thin">
        <color rgb="FFC0C0C0"/>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rgb="FFC0C0C0"/>
      </right>
      <top style="thin">
        <color rgb="FFC0C0C0"/>
      </top>
      <bottom/>
    </border>
    <border>
      <left style="thin">
        <color theme="0" tint="-0.25"/>
      </left>
      <right style="thin">
        <color theme="0" tint="-0.25"/>
      </right>
      <top/>
      <bottom/>
    </border>
    <border>
      <left style="thin">
        <color theme="0" tint="-0.25"/>
      </left>
      <right style="thin">
        <color theme="0" tint="-0.25"/>
      </right>
      <top style="thin">
        <color theme="0" tint="-0.25"/>
      </top>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thin">
        <color rgb="FFBCBCBC"/>
      </bottom>
    </border>
    <border>
      <left/>
      <right/>
      <top style="dotted">
        <color rgb="FF000000"/>
      </top>
      <bottom style="dotted">
        <color rgb="FF000000"/>
      </bottom>
    </border>
  </borders>
  <cellStyleXfs count="1298">
    <xf numFmtId="0"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19" fillId="0" borderId="0" applyFont="1" applyFill="0" applyBorder="0" applyNumberFormat="1">
      <alignment wrapText="1"/>
    </xf>
    <xf numFmtId="0" fontId="20" fillId="0" borderId="0" applyFont="1" applyFill="0" applyBorder="0">
      <alignment vertical="center" wrapText="1"/>
    </xf>
    <xf numFmtId="0" fontId="20" fillId="0" borderId="0" applyFont="1" applyFill="0" applyBorder="0">
      <alignment vertical="center"/>
    </xf>
    <xf numFmtId="0" fontId="21" fillId="33" borderId="10" applyFont="1" applyFill="1" applyBorder="1">
      <alignment horizontal="center" vertical="center" wrapText="1"/>
    </xf>
    <xf numFmtId="0" fontId="21" fillId="33" borderId="11" applyFont="1" applyFill="1" applyBorder="1">
      <alignment horizontal="center" vertical="center" wrapText="1"/>
    </xf>
    <xf numFmtId="0" fontId="21" fillId="33" borderId="12" applyFont="1" applyFill="1" applyBorder="1">
      <alignment horizontal="center" vertical="center" wrapText="1"/>
    </xf>
    <xf numFmtId="0" fontId="21" fillId="34" borderId="13" applyFont="1" applyFill="1" applyBorder="1">
      <alignment horizontal="right" vertical="center" wrapText="1" indent="1"/>
    </xf>
    <xf numFmtId="0" fontId="21" fillId="34" borderId="14" applyFont="1" applyFill="1" applyBorder="1">
      <alignment horizontal="right" vertical="center" wrapText="1" indent="1"/>
    </xf>
    <xf numFmtId="0" fontId="22" fillId="0" borderId="13" applyFont="1" applyFill="0" applyBorder="1">
      <alignment wrapText="1"/>
    </xf>
    <xf numFmtId="0" fontId="23" fillId="35" borderId="15" applyFont="1" applyFill="1" applyBorder="1">
      <alignment horizontal="center" vertical="center" wrapText="1"/>
    </xf>
    <xf numFmtId="0" fontId="24" fillId="0" borderId="13" applyFont="1" applyFill="0" applyBorder="1">
      <alignment vertical="center" wrapText="1"/>
    </xf>
    <xf numFmtId="0" fontId="23" fillId="36" borderId="15" applyFont="1" applyFill="1" applyBorder="1">
      <alignment horizontal="center" vertical="center" wrapText="1"/>
    </xf>
    <xf numFmtId="0" fontId="24" fillId="0" borderId="13" applyFont="1" applyFill="0" applyBorder="1">
      <alignment horizontal="left" vertical="center" wrapText="1"/>
    </xf>
    <xf numFmtId="0" fontId="23" fillId="37" borderId="15" applyFont="1" applyFill="1" applyBorder="1">
      <alignment horizontal="center" vertical="center" wrapText="1"/>
    </xf>
    <xf numFmtId="0" fontId="23" fillId="38" borderId="15" applyFont="1" applyFill="1" applyBorder="1">
      <alignment horizontal="center" vertical="center" wrapText="1"/>
    </xf>
    <xf numFmtId="0" fontId="21" fillId="34" borderId="0" applyFont="1" applyFill="1" applyBorder="0">
      <alignment horizontal="right" vertical="center" wrapText="1" indent="1"/>
    </xf>
    <xf numFmtId="0" fontId="25" fillId="0" borderId="13" applyFont="1" applyFill="0" applyBorder="1">
      <alignment horizontal="left" vertical="center" wrapText="1"/>
    </xf>
    <xf numFmtId="0" fontId="25" fillId="0" borderId="16" applyFont="1" applyFill="0" applyBorder="1">
      <alignment horizontal="left" vertical="center" wrapText="1"/>
    </xf>
    <xf numFmtId="0" fontId="21" fillId="34" borderId="15" applyFont="1" applyFill="1" applyBorder="1">
      <alignment horizontal="right" vertical="center" wrapText="1" indent="1"/>
    </xf>
    <xf numFmtId="0" fontId="21" fillId="34" borderId="17" applyFont="1" applyFill="1" applyBorder="1">
      <alignment horizontal="right" vertical="center" wrapText="1" indent="1"/>
    </xf>
    <xf numFmtId="0" fontId="24" fillId="0" borderId="13" applyFont="1" applyFill="0" applyBorder="1">
      <alignment wrapText="1"/>
    </xf>
    <xf numFmtId="0" fontId="24" fillId="0" borderId="0" applyFont="1" applyFill="0" applyBorder="0">
      <alignment vertical="center" wrapText="1"/>
    </xf>
    <xf numFmtId="0" fontId="24" fillId="0" borderId="0" applyFont="1" applyFill="0" applyBorder="0">
      <alignment vertical="top" wrapText="1"/>
    </xf>
    <xf numFmtId="0" fontId="21" fillId="34" borderId="18" applyFont="1" applyFill="1" applyBorder="1">
      <alignment horizontal="right" vertical="center" wrapText="1" indent="1"/>
    </xf>
    <xf numFmtId="0" fontId="21" fillId="34" borderId="19" applyFont="1" applyFill="1" applyBorder="1">
      <alignment horizontal="right" vertical="center" wrapText="1" indent="1"/>
    </xf>
    <xf numFmtId="0" fontId="22" fillId="0" borderId="18" applyFont="1" applyFill="0" applyBorder="1">
      <alignment wrapText="1"/>
    </xf>
    <xf numFmtId="0" fontId="22" fillId="0" borderId="19" applyFont="1" applyFill="0" applyBorder="1">
      <alignment wrapText="1"/>
    </xf>
    <xf numFmtId="0" fontId="22" fillId="0" borderId="19" applyFont="1" applyFill="0" applyBorder="1">
      <alignment vertical="center" wrapText="1"/>
    </xf>
    <xf numFmtId="0" fontId="26" fillId="0" borderId="0" applyFont="1" applyFill="0" applyBorder="0">
      <alignment vertical="center" wrapText="1"/>
    </xf>
    <xf numFmtId="0" fontId="27" fillId="0" borderId="0" applyFont="1" applyFill="0" applyBorder="0">
      <alignment horizontal="left" vertical="top" indent="1"/>
    </xf>
    <xf numFmtId="0" fontId="28" fillId="0" borderId="0" applyFont="1" applyFill="0" applyBorder="0">
      <alignment vertical="center" wrapText="1"/>
    </xf>
    <xf numFmtId="0" fontId="23" fillId="0" borderId="0" applyFont="1" applyFill="0" applyBorder="0">
      <alignment horizontal="left" vertical="center" indent="1"/>
    </xf>
    <xf numFmtId="0" fontId="27" fillId="0" borderId="0" applyFont="1" applyFill="0" applyBorder="0">
      <alignment vertical="center" wrapText="1"/>
    </xf>
    <xf numFmtId="0" fontId="29" fillId="39" borderId="0" applyFont="1" applyFill="1" applyBorder="0">
      <alignment vertical="center" wrapText="1"/>
    </xf>
    <xf numFmtId="0" fontId="29" fillId="0" borderId="0" applyFont="1" applyFill="0" applyBorder="0">
      <alignment vertical="center" wrapText="1"/>
    </xf>
    <xf numFmtId="0" fontId="30" fillId="39" borderId="0" applyFont="1" applyFill="1" applyBorder="0">
      <alignment vertical="center" wrapText="1"/>
    </xf>
    <xf numFmtId="0" fontId="27" fillId="0" borderId="20" applyFont="1" applyFill="0" applyBorder="1">
      <alignment horizontal="center" vertical="center" wrapText="1"/>
    </xf>
    <xf numFmtId="0" fontId="27" fillId="0" borderId="21" applyFont="1" applyFill="0" applyBorder="1">
      <alignment horizontal="center" vertical="center" wrapText="1"/>
    </xf>
    <xf numFmtId="0" fontId="31" fillId="39" borderId="0" applyFont="1" applyFill="1" applyBorder="0">
      <alignment vertical="center" wrapText="1"/>
    </xf>
    <xf numFmtId="0" fontId="29" fillId="39" borderId="0" applyFont="1" applyFill="1" applyBorder="0">
      <alignment horizontal="right" vertical="center" wrapText="1" indent="1"/>
    </xf>
    <xf numFmtId="0" fontId="32" fillId="39" borderId="0" applyFont="1" applyFill="1" applyBorder="0">
      <alignment horizontal="center" vertical="center" wrapText="1"/>
    </xf>
    <xf numFmtId="0" fontId="27" fillId="39" borderId="22" applyFont="1" applyFill="1" applyBorder="1">
      <alignment horizontal="right" vertical="center" wrapText="1" indent="1"/>
    </xf>
    <xf numFmtId="0" fontId="23" fillId="37" borderId="23" applyFont="1" applyFill="1" applyBorder="1">
      <alignment horizontal="left" vertical="center" wrapText="1" indent="1"/>
    </xf>
    <xf numFmtId="14" fontId="33" fillId="39" borderId="0" applyFont="1" applyFill="1" applyBorder="0" applyNumberFormat="1">
      <alignment horizontal="left" vertical="center" wrapText="1"/>
    </xf>
    <xf numFmtId="0" fontId="34" fillId="39" borderId="0" applyFont="1" applyFill="1" applyBorder="0">
      <alignment horizontal="center" vertical="center" wrapText="1"/>
    </xf>
    <xf numFmtId="0" fontId="29" fillId="39" borderId="0" applyFont="1" applyFill="1" applyBorder="0">
      <alignment horizontal="left" vertical="center" wrapText="1" indent="1"/>
    </xf>
    <xf numFmtId="0" fontId="27" fillId="39" borderId="0" applyFont="1" applyFill="1" applyBorder="0">
      <alignment horizontal="center" vertical="center" wrapText="1"/>
    </xf>
    <xf numFmtId="0" fontId="27" fillId="38" borderId="23" applyFont="1" applyFill="1" applyBorder="1">
      <alignment horizontal="left" vertical="top" wrapText="1" indent="1"/>
      <protection locked="0"/>
    </xf>
    <xf numFmtId="0" fontId="27" fillId="0" borderId="0" applyFont="1" applyFill="0" applyBorder="0">
      <alignment horizontal="left" vertical="center" wrapText="1"/>
    </xf>
    <xf numFmtId="49" fontId="27" fillId="40" borderId="23" applyFont="1" applyFill="1" applyBorder="1" applyNumberFormat="1">
      <alignment horizontal="left" vertical="center" wrapText="1" indent="1"/>
    </xf>
    <xf numFmtId="14" fontId="35" fillId="0" borderId="23" applyFont="1" applyFill="0" applyBorder="1" applyNumberFormat="1">
      <alignment horizontal="center" vertical="center" wrapText="1"/>
    </xf>
    <xf numFmtId="438" fontId="23" fillId="38" borderId="23" applyFont="1" applyFill="1" applyBorder="1" applyNumberFormat="1">
      <alignment horizontal="left" vertical="center" wrapText="1" indent="1"/>
      <protection locked="0"/>
    </xf>
    <xf numFmtId="0" fontId="36" fillId="0" borderId="0" applyFont="1" applyFill="0" applyBorder="0">
      <alignment horizontal="left" vertical="center" indent="1"/>
    </xf>
    <xf numFmtId="0" fontId="37" fillId="0" borderId="0" applyFont="1" applyFill="0" applyBorder="0">
      <alignment vertical="center" wrapText="1"/>
    </xf>
    <xf numFmtId="0" fontId="27" fillId="39" borderId="0" applyFont="1" applyFill="1" applyBorder="0">
      <alignment vertical="center" wrapText="1"/>
    </xf>
    <xf numFmtId="14" fontId="35" fillId="0" borderId="23" applyFont="1" applyFill="0" applyBorder="1" applyNumberFormat="1">
      <alignment horizontal="left" vertical="center" wrapText="1"/>
    </xf>
    <xf numFmtId="49" fontId="27" fillId="39" borderId="22" applyFont="1" applyFill="1" applyBorder="1" applyNumberFormat="1">
      <alignment horizontal="right" vertical="center" wrapText="1" indent="1"/>
    </xf>
    <xf numFmtId="49" fontId="37" fillId="0" borderId="0" applyFont="1" applyFill="0" applyBorder="0" applyNumberFormat="1">
      <alignment vertical="center" wrapText="1"/>
    </xf>
    <xf numFmtId="0" fontId="23" fillId="38" borderId="23" applyFont="1" applyFill="1" applyBorder="1">
      <alignment horizontal="left" vertical="center" wrapText="1" indent="1"/>
      <protection locked="0"/>
    </xf>
    <xf numFmtId="49" fontId="27" fillId="38" borderId="23" applyFont="1" applyFill="1" applyBorder="1" applyNumberFormat="1">
      <alignment horizontal="left" vertical="center" wrapText="1" indent="1"/>
      <protection locked="0"/>
    </xf>
    <xf numFmtId="438" fontId="23" fillId="0" borderId="23" applyFont="1" applyFill="0" applyBorder="1" applyNumberFormat="1">
      <alignment horizontal="left" vertical="center" wrapText="1" indent="1"/>
    </xf>
    <xf numFmtId="0" fontId="23" fillId="39" borderId="0" applyFont="1" applyFill="1" applyBorder="0">
      <alignment horizontal="right" vertical="center" wrapText="1" indent="1"/>
    </xf>
    <xf numFmtId="0" fontId="38" fillId="0" borderId="0" applyFont="1" applyFill="0" applyBorder="0">
      <alignment horizontal="left" vertical="center" wrapText="1"/>
    </xf>
    <xf numFmtId="0" fontId="27" fillId="39" borderId="0" applyFont="1" applyFill="1" applyBorder="0">
      <alignment horizontal="right" vertical="center" wrapText="1" indent="1"/>
    </xf>
    <xf numFmtId="0" fontId="27" fillId="0" borderId="0" applyFont="1" applyFill="0" applyBorder="0">
      <alignment horizontal="center" vertical="center" wrapText="1"/>
    </xf>
    <xf numFmtId="0" fontId="38" fillId="0" borderId="0" applyFont="1" applyFill="0" applyBorder="0">
      <alignment vertical="center" wrapText="1"/>
    </xf>
    <xf numFmtId="0" fontId="23" fillId="39" borderId="0" applyFont="1" applyFill="1" applyBorder="0">
      <alignment horizontal="left" vertical="center" wrapText="1" indent="1"/>
    </xf>
    <xf numFmtId="49" fontId="27" fillId="0" borderId="23" applyFont="1" applyFill="0" applyBorder="1" applyNumberFormat="1">
      <alignment horizontal="left" vertical="center" wrapText="1" indent="1"/>
    </xf>
    <xf numFmtId="0" fontId="39" fillId="39" borderId="0" applyFont="1" applyFill="1" applyBorder="0">
      <alignment horizontal="center" vertical="center" wrapText="1"/>
    </xf>
    <xf numFmtId="49" fontId="27" fillId="37" borderId="23" applyFont="1" applyFill="1" applyBorder="1" applyNumberFormat="1">
      <alignment horizontal="left" vertical="center" wrapText="1" indent="1"/>
    </xf>
    <xf numFmtId="14" fontId="27" fillId="39" borderId="0" applyFont="1" applyFill="1" applyBorder="0" applyNumberFormat="1">
      <alignment horizontal="center" vertical="center" wrapText="1"/>
    </xf>
    <xf numFmtId="0" fontId="23" fillId="39" borderId="22" applyFont="1" applyFill="1" applyBorder="1">
      <alignment horizontal="right" vertical="center" wrapText="1" indent="1"/>
    </xf>
    <xf numFmtId="14" fontId="27" fillId="39" borderId="0" applyFont="1" applyFill="1" applyBorder="0" applyNumberFormat="1">
      <alignment horizontal="left" vertical="center" wrapText="1"/>
    </xf>
    <xf numFmtId="0" fontId="27" fillId="38" borderId="23" applyFont="1" applyFill="1" applyBorder="1">
      <alignment horizontal="left" vertical="center" wrapText="1" indent="1"/>
      <protection locked="0"/>
    </xf>
    <xf numFmtId="0" fontId="40" fillId="39" borderId="0" applyFont="1" applyFill="1" applyBorder="0">
      <alignment horizontal="right" vertical="center" wrapText="1" indent="1"/>
    </xf>
    <xf numFmtId="0" fontId="40" fillId="39" borderId="0" applyFont="1" applyFill="1" applyBorder="0">
      <alignment horizontal="left" vertical="center" wrapText="1" indent="1"/>
    </xf>
    <xf numFmtId="49" fontId="41" fillId="0" borderId="23" applyFont="1" applyFill="0" applyBorder="1" applyNumberFormat="1">
      <alignment horizontal="left" vertical="center" wrapText="1" indent="1"/>
    </xf>
    <xf numFmtId="0" fontId="27" fillId="40" borderId="23" applyFont="1" applyFill="1" applyBorder="1">
      <alignment horizontal="left" vertical="center" wrapText="1" indent="1"/>
    </xf>
    <xf numFmtId="438" fontId="23" fillId="38" borderId="24" applyFont="1" applyFill="1" applyBorder="1" applyNumberFormat="1">
      <alignment horizontal="left" vertical="center" wrapText="1" indent="1"/>
      <protection locked="0"/>
    </xf>
    <xf numFmtId="0" fontId="27" fillId="38" borderId="23" applyFont="1" applyFill="1" applyBorder="1">
      <alignment horizontal="left" vertical="center" wrapText="1" indent="1"/>
    </xf>
    <xf numFmtId="49" fontId="30" fillId="39" borderId="0" applyFont="1" applyFill="1" applyBorder="0" applyNumberFormat="1">
      <alignment horizontal="center" vertical="center" wrapText="1"/>
    </xf>
    <xf numFmtId="0" fontId="27" fillId="0" borderId="0" applyFont="1" applyFill="0" applyBorder="0">
      <alignment horizontal="left" vertical="center" wrapText="1" indent="4"/>
    </xf>
    <xf numFmtId="49" fontId="42" fillId="38" borderId="23" applyFont="1" applyFill="1" applyBorder="1" applyNumberFormat="1">
      <alignment horizontal="left" vertical="center" wrapText="1" indent="1"/>
      <protection locked="0"/>
    </xf>
    <xf numFmtId="49" fontId="27" fillId="39" borderId="0" applyFont="1" applyFill="1" applyBorder="0" applyNumberFormat="1">
      <alignment horizontal="right" vertical="center" wrapText="1" indent="1"/>
    </xf>
    <xf numFmtId="49" fontId="37" fillId="0" borderId="0" applyFont="1" applyFill="0" applyBorder="0" applyNumberFormat="1">
      <alignment horizontal="center" vertical="center" wrapText="1"/>
    </xf>
    <xf numFmtId="49" fontId="23" fillId="39" borderId="0" applyFont="1" applyFill="1" applyBorder="0" applyNumberFormat="1">
      <alignment horizontal="right" vertical="center" wrapText="1" indent="1"/>
    </xf>
    <xf numFmtId="0" fontId="33" fillId="0" borderId="0" applyFont="1" applyFill="0" applyBorder="0">
      <alignment horizontal="left" vertical="center" wrapText="1"/>
    </xf>
    <xf numFmtId="0" fontId="28" fillId="0" borderId="0" applyFont="1" applyFill="0" applyBorder="0">
      <alignment horizontal="left" vertical="center" wrapText="1"/>
    </xf>
    <xf numFmtId="0" fontId="43" fillId="0" borderId="0" applyFont="1" applyFill="0" applyBorder="0">
      <alignment vertical="center" wrapText="1"/>
    </xf>
    <xf numFmtId="0" fontId="28" fillId="0" borderId="0" applyFont="1" applyFill="0" applyBorder="0">
      <alignment horizontal="center" vertical="center" wrapText="1"/>
    </xf>
    <xf numFmtId="0" fontId="44" fillId="0" borderId="0" applyFont="1" applyFill="0" applyBorder="0">
      <alignment horizontal="left" vertical="center" indent="1"/>
    </xf>
    <xf numFmtId="0" fontId="44" fillId="0" borderId="0" applyFont="1" applyFill="0" applyBorder="0">
      <alignment horizontal="center" vertical="center" wrapText="1"/>
    </xf>
    <xf numFmtId="0" fontId="44" fillId="0" borderId="0" applyFont="1" applyFill="0" applyBorder="0">
      <alignment horizontal="left" vertical="center" wrapText="1" indent="1"/>
    </xf>
    <xf numFmtId="0" fontId="44" fillId="0" borderId="0" applyFont="1" applyFill="0" applyBorder="0">
      <alignment vertical="center" wrapText="1"/>
    </xf>
    <xf numFmtId="0" fontId="45" fillId="0" borderId="0" applyFont="1" applyFill="0" applyBorder="0">
      <alignment vertical="center" wrapText="1"/>
    </xf>
    <xf numFmtId="0" fontId="46" fillId="0" borderId="0" applyFont="1" applyFill="0" applyBorder="0">
      <alignment vertical="center" wrapText="1"/>
    </xf>
    <xf numFmtId="0" fontId="27" fillId="0" borderId="25" applyFont="1" applyFill="0" applyBorder="1">
      <alignment horizontal="left" vertical="center" wrapText="1" indent="1"/>
    </xf>
    <xf numFmtId="0" fontId="27" fillId="0" borderId="25" applyFont="1" applyFill="0" applyBorder="1">
      <alignment horizontal="center" vertical="center" wrapText="1"/>
    </xf>
    <xf numFmtId="4" fontId="27" fillId="0" borderId="23" applyFont="1" applyFill="0" applyBorder="1" applyNumberFormat="1">
      <alignment horizontal="center" vertical="center" wrapText="1"/>
    </xf>
    <xf numFmtId="435" fontId="27" fillId="0" borderId="21" applyFont="1" applyFill="0" applyBorder="1" applyNumberFormat="1">
      <alignment horizontal="center" vertical="center" wrapText="1"/>
    </xf>
    <xf numFmtId="435" fontId="27" fillId="0" borderId="23" applyFont="1" applyFill="0" applyBorder="1" applyNumberFormat="1">
      <alignment horizontal="center" vertical="center" wrapText="1"/>
    </xf>
    <xf numFmtId="49" fontId="47" fillId="0" borderId="25" applyFont="1" applyFill="0" applyBorder="1" applyNumberFormat="1">
      <alignment horizontal="center" vertical="center" wrapText="1"/>
    </xf>
    <xf numFmtId="49" fontId="27" fillId="41" borderId="26" applyFont="1" applyFill="1" applyBorder="1" applyNumberFormat="1">
      <alignment horizontal="center" vertical="center" wrapText="1"/>
    </xf>
    <xf numFmtId="49" fontId="37" fillId="41" borderId="26" applyFont="1" applyFill="1" applyBorder="1" applyNumberFormat="1">
      <alignment horizontal="left" vertical="center" wrapText="1"/>
    </xf>
    <xf numFmtId="49" fontId="37" fillId="41" borderId="27" applyFont="1" applyFill="1" applyBorder="1" applyNumberFormat="1">
      <alignment horizontal="left" vertical="center" wrapText="1"/>
    </xf>
    <xf numFmtId="0" fontId="44" fillId="0" borderId="28" applyFont="1" applyFill="0" applyBorder="1">
      <alignment vertical="center"/>
    </xf>
    <xf numFmtId="0" fontId="44" fillId="0" borderId="0" applyFont="1" applyFill="0" applyBorder="0">
      <alignment vertical="center"/>
    </xf>
    <xf numFmtId="0" fontId="27" fillId="0" borderId="23" applyFont="1" applyFill="0" applyBorder="1">
      <alignment horizontal="center" vertical="center" wrapText="1"/>
    </xf>
    <xf numFmtId="0" fontId="44" fillId="0" borderId="23" applyFont="1" applyFill="0" applyBorder="1">
      <alignment horizontal="center" vertical="center" wrapText="1"/>
    </xf>
    <xf numFmtId="49" fontId="27" fillId="38" borderId="23" applyFont="1" applyFill="1" applyBorder="1" applyNumberFormat="1">
      <alignment vertical="center" wrapText="1"/>
      <protection locked="0"/>
    </xf>
    <xf numFmtId="49" fontId="37" fillId="0" borderId="23" applyFont="1" applyFill="0" applyBorder="1" applyNumberFormat="1">
      <alignment horizontal="left" vertical="center" wrapText="1"/>
    </xf>
    <xf numFmtId="0" fontId="47" fillId="0" borderId="29" applyFont="1" applyFill="0" applyBorder="1">
      <alignment vertical="top" wrapText="1"/>
    </xf>
    <xf numFmtId="0" fontId="27" fillId="0" borderId="30" applyFont="1" applyFill="0" applyBorder="1">
      <alignment horizontal="center" vertical="center" wrapText="1"/>
    </xf>
    <xf numFmtId="0" fontId="44" fillId="0" borderId="30" applyFont="1" applyFill="0" applyBorder="1">
      <alignment horizontal="center" vertical="center" wrapText="1"/>
    </xf>
    <xf numFmtId="14" fontId="27" fillId="40" borderId="30" applyFont="1" applyFill="1" applyBorder="1" applyNumberFormat="1">
      <alignment horizontal="left" vertical="center" wrapText="1" indent="1"/>
    </xf>
    <xf numFmtId="49" fontId="27" fillId="37" borderId="30" applyFont="1" applyFill="1" applyBorder="1" applyNumberFormat="1">
      <alignment horizontal="center" vertical="center" wrapText="1"/>
    </xf>
    <xf numFmtId="49" fontId="23" fillId="0" borderId="0" applyFont="1" applyFill="0" applyBorder="0" applyNumberFormat="1">
      <alignment vertical="top"/>
    </xf>
    <xf numFmtId="49" fontId="31" fillId="41" borderId="21" applyFont="1" applyFill="1" applyBorder="1" applyNumberFormat="1">
      <alignment horizontal="right" vertical="center" wrapText="1"/>
    </xf>
    <xf numFmtId="49" fontId="31" fillId="41" borderId="25" applyFont="1" applyFill="1" applyBorder="1" applyNumberFormat="1">
      <alignment horizontal="right" vertical="center" wrapText="1"/>
    </xf>
    <xf numFmtId="49" fontId="48" fillId="41" borderId="25" applyFont="1" applyFill="1" applyBorder="1" applyNumberFormat="1">
      <alignment horizontal="left" vertical="center" indent="1"/>
    </xf>
    <xf numFmtId="49" fontId="23" fillId="41" borderId="25" applyFont="1" applyFill="1" applyBorder="1" applyNumberFormat="1">
      <alignment horizontal="right" vertical="center" wrapText="1"/>
    </xf>
    <xf numFmtId="49" fontId="23" fillId="41" borderId="20" applyFont="1" applyFill="1" applyBorder="1" applyNumberFormat="1">
      <alignment horizontal="right" vertical="center" wrapText="1"/>
    </xf>
    <xf numFmtId="49" fontId="27" fillId="41" borderId="21" applyFont="1" applyFill="1" applyBorder="1" applyNumberFormat="1">
      <alignment horizontal="right" vertical="center" wrapText="1"/>
    </xf>
    <xf numFmtId="49" fontId="27" fillId="41" borderId="25" applyFont="1" applyFill="1" applyBorder="1" applyNumberFormat="1">
      <alignment horizontal="right" vertical="center" wrapText="1"/>
    </xf>
    <xf numFmtId="49" fontId="48" fillId="41" borderId="25" applyFont="1" applyFill="1" applyBorder="1" applyNumberFormat="1">
      <alignment horizontal="left" vertical="center"/>
    </xf>
    <xf numFmtId="49" fontId="27" fillId="41" borderId="20" applyFont="1" applyFill="1" applyBorder="1" applyNumberFormat="1">
      <alignment horizontal="right" vertical="center" wrapText="1"/>
    </xf>
    <xf numFmtId="0" fontId="27" fillId="0" borderId="31" applyFont="1" applyFill="0" applyBorder="1">
      <alignment vertical="center" wrapText="1"/>
    </xf>
    <xf numFmtId="0" fontId="49" fillId="0" borderId="0" applyFont="1" applyFill="0" applyBorder="0">
      <alignment vertical="center" wrapText="1"/>
    </xf>
    <xf numFmtId="0" fontId="50" fillId="0" borderId="0" applyFont="1" applyFill="0" applyBorder="0">
      <alignment horizontal="center" vertical="center" wrapText="1"/>
    </xf>
    <xf numFmtId="0" fontId="51" fillId="0" borderId="0" applyFont="1" applyFill="0" applyBorder="0">
      <alignment vertical="center"/>
    </xf>
    <xf numFmtId="0" fontId="23" fillId="0" borderId="0" applyFont="1" applyFill="0" applyBorder="0">
      <alignment vertical="center"/>
    </xf>
    <xf numFmtId="0" fontId="27" fillId="0" borderId="27" applyFont="1" applyFill="0" applyBorder="1">
      <alignment horizontal="left" vertical="center" wrapText="1" indent="1"/>
    </xf>
    <xf numFmtId="0" fontId="27" fillId="0" borderId="32" applyFont="1" applyFill="0" applyBorder="1">
      <alignment horizontal="left" vertical="center" wrapText="1" indent="1"/>
    </xf>
    <xf numFmtId="0" fontId="27" fillId="0" borderId="33" applyFont="1" applyFill="0" applyBorder="1">
      <alignment horizontal="left" vertical="center" wrapText="1" indent="1"/>
    </xf>
    <xf numFmtId="0" fontId="27" fillId="0" borderId="34" applyFont="1" applyFill="0" applyBorder="1">
      <alignment horizontal="left" vertical="center" indent="1"/>
    </xf>
    <xf numFmtId="0" fontId="27" fillId="0" borderId="30" applyFont="1" applyFill="0" applyBorder="1">
      <alignment horizontal="left" vertical="center" indent="1"/>
    </xf>
    <xf numFmtId="0" fontId="27" fillId="0" borderId="35" applyFont="1" applyFill="0" applyBorder="1">
      <alignment horizontal="left" vertical="center" indent="1"/>
    </xf>
    <xf numFmtId="0" fontId="52" fillId="0" borderId="0" applyFont="1" applyFill="0" applyBorder="0">
      <alignment vertical="center"/>
    </xf>
    <xf numFmtId="0" fontId="23" fillId="0" borderId="0" applyFont="1" applyFill="0" applyBorder="0">
      <alignment horizontal="left" vertical="center" wrapText="1" indent="2"/>
    </xf>
    <xf numFmtId="0" fontId="27" fillId="42" borderId="0" applyFont="1" applyFill="1" applyBorder="0">
      <alignment horizontal="center" vertical="center" wrapText="1"/>
    </xf>
    <xf numFmtId="0" fontId="53" fillId="0" borderId="33" applyFont="1" applyFill="0" applyBorder="1">
      <alignment horizontal="center" vertical="center" wrapText="1"/>
    </xf>
    <xf numFmtId="0" fontId="53" fillId="0" borderId="26" applyFont="1" applyFill="0" applyBorder="1">
      <alignment horizontal="center" vertical="center" wrapText="1"/>
    </xf>
    <xf numFmtId="0" fontId="53" fillId="0" borderId="23" applyFont="1" applyFill="0" applyBorder="1">
      <alignment horizontal="center" vertical="center" wrapText="1"/>
    </xf>
    <xf numFmtId="0" fontId="27" fillId="0" borderId="36" applyFont="1" applyFill="0" applyBorder="1">
      <alignment horizontal="center" vertical="center" wrapText="1"/>
    </xf>
    <xf numFmtId="0" fontId="27" fillId="0" borderId="37" applyFont="1" applyFill="0" applyBorder="1">
      <alignment horizontal="center" vertical="center" wrapText="1"/>
    </xf>
    <xf numFmtId="0" fontId="37" fillId="0" borderId="28" applyFont="1" applyFill="0" applyBorder="1">
      <alignment vertical="center"/>
    </xf>
    <xf numFmtId="49" fontId="47" fillId="0" borderId="23" applyFont="1" applyFill="0" applyBorder="1" applyNumberFormat="1">
      <alignment horizontal="center" vertical="center" wrapText="1"/>
    </xf>
    <xf numFmtId="49" fontId="47" fillId="0" borderId="38" applyFont="1" applyFill="0" applyBorder="1" applyNumberFormat="1">
      <alignment horizontal="center" vertical="center" wrapText="1"/>
    </xf>
    <xf numFmtId="49" fontId="47" fillId="0" borderId="39" applyFont="1" applyFill="0" applyBorder="1" applyNumberFormat="1">
      <alignment horizontal="center" vertical="center" wrapText="1"/>
    </xf>
    <xf numFmtId="49" fontId="47" fillId="0" borderId="21" applyFont="1" applyFill="0" applyBorder="1" applyNumberFormat="1">
      <alignment horizontal="center" vertical="center" wrapText="1"/>
    </xf>
    <xf numFmtId="49" fontId="47" fillId="0" borderId="20" applyFont="1" applyFill="0" applyBorder="1" applyNumberFormat="1">
      <alignment horizontal="center" vertical="center" wrapText="1"/>
    </xf>
    <xf numFmtId="0" fontId="27" fillId="41" borderId="21" applyFont="1" applyFill="1" applyBorder="1">
      <alignment horizontal="center" vertical="center" wrapText="1"/>
    </xf>
    <xf numFmtId="49" fontId="27" fillId="41" borderId="25" applyFont="1" applyFill="1" applyBorder="1" applyNumberFormat="1">
      <alignment horizontal="center" vertical="center" wrapText="1"/>
    </xf>
    <xf numFmtId="49" fontId="27" fillId="41" borderId="40" applyFont="1" applyFill="1" applyBorder="1" applyNumberFormat="1">
      <alignment horizontal="center" vertical="center" wrapText="1"/>
    </xf>
    <xf numFmtId="49" fontId="23" fillId="41" borderId="25" applyFont="1" applyFill="1" applyBorder="1" applyNumberFormat="1">
      <alignment horizontal="left" vertical="center"/>
    </xf>
    <xf numFmtId="0" fontId="23" fillId="41" borderId="20" applyFont="1" applyFill="1" applyBorder="1">
      <alignment vertical="center"/>
    </xf>
    <xf numFmtId="49" fontId="27" fillId="0" borderId="23" applyFont="1" applyFill="0" applyBorder="1" applyNumberFormat="1">
      <alignment horizontal="center" vertical="center" wrapText="1"/>
    </xf>
    <xf numFmtId="0" fontId="27" fillId="40" borderId="32" applyFont="1" applyFill="1" applyBorder="1">
      <alignment horizontal="left" vertical="center" wrapText="1" indent="2"/>
    </xf>
    <xf numFmtId="49" fontId="27" fillId="40" borderId="30" applyFont="1" applyFill="1" applyBorder="1" applyNumberFormat="1">
      <alignment horizontal="center" vertical="center" wrapText="1"/>
    </xf>
    <xf numFmtId="14" fontId="54" fillId="0" borderId="41" applyFont="1" applyFill="0" applyBorder="1" applyNumberFormat="1">
      <alignment horizontal="center" vertical="center" wrapText="1"/>
    </xf>
    <xf numFmtId="0" fontId="27" fillId="0" borderId="41" applyFont="1" applyFill="0" applyBorder="1">
      <alignment horizontal="center" vertical="center" wrapText="1"/>
    </xf>
    <xf numFmtId="0" fontId="27" fillId="40" borderId="32" applyFont="1" applyFill="1" applyBorder="1">
      <alignment horizontal="left" vertical="center" wrapText="1" indent="1"/>
    </xf>
    <xf numFmtId="49" fontId="27" fillId="40" borderId="23" applyFont="1" applyFill="1" applyBorder="1" applyNumberFormat="1">
      <alignment horizontal="center" vertical="center" wrapText="1"/>
    </xf>
    <xf numFmtId="49" fontId="27" fillId="0" borderId="32" applyFont="1" applyFill="0" applyBorder="1" applyNumberFormat="1">
      <alignment horizontal="center" vertical="center" wrapText="1"/>
    </xf>
    <xf numFmtId="49" fontId="53" fillId="38" borderId="23" applyFont="1" applyFill="1" applyBorder="1" applyNumberFormat="1">
      <alignment horizontal="left" vertical="center" wrapText="1" indent="1"/>
      <protection locked="0"/>
    </xf>
    <xf numFmtId="0" fontId="27" fillId="0" borderId="0" applyFont="1" applyFill="0" applyBorder="0">
      <alignment vertical="center"/>
    </xf>
    <xf numFmtId="0" fontId="37" fillId="0" borderId="0" applyFont="1" applyFill="0" applyBorder="0">
      <alignment vertical="center"/>
    </xf>
    <xf numFmtId="49" fontId="23" fillId="0" borderId="23" applyFont="1" applyFill="0" applyBorder="1" applyNumberFormat="1">
      <alignment vertical="top"/>
    </xf>
    <xf numFmtId="0" fontId="47" fillId="0" borderId="23" applyFont="1" applyFill="0" applyBorder="1">
      <alignment horizontal="center" vertical="center" wrapText="1"/>
    </xf>
    <xf numFmtId="49" fontId="27" fillId="0" borderId="20" applyFont="1" applyFill="0" applyBorder="1" applyNumberFormat="1">
      <alignment horizontal="center" vertical="center" wrapText="1"/>
    </xf>
    <xf numFmtId="0" fontId="27" fillId="40" borderId="42" applyFont="1" applyFill="1" applyBorder="1">
      <alignment horizontal="left" vertical="center" wrapText="1" indent="2"/>
    </xf>
    <xf numFmtId="0" fontId="27" fillId="40" borderId="30" applyFont="1" applyFill="1" applyBorder="1">
      <alignment horizontal="left" vertical="center" wrapText="1" indent="1"/>
    </xf>
    <xf numFmtId="49" fontId="48" fillId="41" borderId="20" applyFont="1" applyFill="1" applyBorder="1" applyNumberFormat="1">
      <alignment horizontal="left" vertical="center" indent="1"/>
    </xf>
    <xf numFmtId="0" fontId="27" fillId="40" borderId="30" applyFont="1" applyFill="1" applyBorder="1">
      <alignment horizontal="left" vertical="center" wrapText="1" indent="2"/>
    </xf>
    <xf numFmtId="49" fontId="31" fillId="41" borderId="43" applyFont="1" applyFill="1" applyBorder="1" applyNumberFormat="1">
      <alignment horizontal="right" vertical="center" wrapText="1"/>
    </xf>
    <xf numFmtId="49" fontId="31" fillId="41" borderId="44" applyFont="1" applyFill="1" applyBorder="1" applyNumberFormat="1">
      <alignment horizontal="right" vertical="center" wrapText="1"/>
    </xf>
    <xf numFmtId="49" fontId="31" fillId="41" borderId="20" applyFont="1" applyFill="1" applyBorder="1" applyNumberFormat="1">
      <alignment horizontal="right" vertical="center" wrapText="1"/>
    </xf>
    <xf numFmtId="0" fontId="53" fillId="42" borderId="0" applyFont="1" applyFill="1" applyBorder="0">
      <alignment vertical="top"/>
    </xf>
    <xf numFmtId="49" fontId="48" fillId="41" borderId="25" applyFont="1" applyFill="1" applyBorder="1" applyNumberFormat="1">
      <alignment horizontal="left" vertical="center" indent="2"/>
    </xf>
    <xf numFmtId="0" fontId="27" fillId="0" borderId="27" applyFont="1" applyFill="0" applyBorder="1">
      <alignment horizontal="left" vertical="top" wrapText="1" indent="1"/>
    </xf>
    <xf numFmtId="0" fontId="27" fillId="0" borderId="32" applyFont="1" applyFill="0" applyBorder="1">
      <alignment horizontal="left" vertical="top" wrapText="1" indent="1"/>
    </xf>
    <xf numFmtId="0" fontId="27" fillId="0" borderId="33" applyFont="1" applyFill="0" applyBorder="1">
      <alignment horizontal="left" vertical="top" wrapText="1" indent="1"/>
    </xf>
    <xf numFmtId="0" fontId="27" fillId="0" borderId="45" applyFont="1" applyFill="0" applyBorder="1">
      <alignment horizontal="left" vertical="center" indent="1"/>
    </xf>
    <xf numFmtId="0" fontId="55" fillId="0" borderId="29" applyFont="1" applyFill="0" applyBorder="1">
      <alignment horizontal="left" vertical="center" wrapText="1" indent="1"/>
    </xf>
    <xf numFmtId="0" fontId="55" fillId="0" borderId="42" applyFont="1" applyFill="0" applyBorder="1">
      <alignment horizontal="left" vertical="center" wrapText="1" indent="1"/>
    </xf>
    <xf numFmtId="0" fontId="55" fillId="0" borderId="28" applyFont="1" applyFill="0" applyBorder="1">
      <alignment horizontal="left" vertical="center" wrapText="1" indent="1"/>
    </xf>
    <xf numFmtId="0" fontId="56" fillId="0" borderId="0" applyFont="1" applyFill="0" applyBorder="0">
      <alignment vertical="center"/>
    </xf>
    <xf numFmtId="0" fontId="23" fillId="0" borderId="23" applyFont="1" applyFill="0" applyBorder="1">
      <alignment horizontal="center" vertical="center" wrapText="1"/>
    </xf>
    <xf numFmtId="49" fontId="44" fillId="39" borderId="0" applyFont="1" applyFill="1" applyBorder="0" applyNumberFormat="1">
      <alignment horizontal="center" vertical="center" wrapText="1"/>
    </xf>
    <xf numFmtId="49" fontId="44" fillId="39" borderId="45" applyFont="1" applyFill="1" applyBorder="1" applyNumberFormat="1">
      <alignment horizontal="center" vertical="center" wrapText="1"/>
    </xf>
    <xf numFmtId="0" fontId="44" fillId="0" borderId="23" applyFont="1" applyFill="0" applyBorder="1">
      <alignment horizontal="center" vertical="center"/>
    </xf>
    <xf numFmtId="0" fontId="23" fillId="0" borderId="23" applyFont="1" applyFill="0" applyBorder="1">
      <alignment horizontal="center" vertical="center"/>
    </xf>
    <xf numFmtId="49" fontId="23" fillId="0" borderId="23" applyFont="1" applyFill="0" applyBorder="1" applyNumberFormat="1">
      <alignment horizontal="center" vertical="center"/>
    </xf>
    <xf numFmtId="49" fontId="23" fillId="0" borderId="23" applyFont="1" applyFill="0" applyBorder="1" applyNumberFormat="1">
      <alignment horizontal="left" vertical="center"/>
    </xf>
    <xf numFmtId="0" fontId="23" fillId="0" borderId="23" applyFont="1" applyFill="0" applyBorder="1">
      <alignment horizontal="center" vertical="top"/>
    </xf>
    <xf numFmtId="0" fontId="27" fillId="0" borderId="23" applyFont="1" applyFill="0" applyBorder="1">
      <alignment horizontal="left" vertical="top" wrapText="1"/>
    </xf>
    <xf numFmtId="0" fontId="27" fillId="40" borderId="32" applyFont="1" applyFill="1" applyBorder="1">
      <alignment horizontal="center" vertical="top" wrapText="1"/>
    </xf>
    <xf numFmtId="0" fontId="23" fillId="0" borderId="33" applyFont="1" applyFill="0" applyBorder="1">
      <alignment horizontal="center" vertical="center"/>
    </xf>
    <xf numFmtId="0" fontId="23" fillId="0" borderId="26" applyFont="1" applyFill="0" applyBorder="1">
      <alignment horizontal="center" vertical="center"/>
    </xf>
    <xf numFmtId="49" fontId="27" fillId="0" borderId="26" applyFont="1" applyFill="0" applyBorder="1" applyNumberFormat="1">
      <alignment horizontal="left" vertical="center" wrapText="1"/>
    </xf>
    <xf numFmtId="49" fontId="27" fillId="0" borderId="26" applyFont="1" applyFill="0" applyBorder="1" applyNumberFormat="1">
      <alignment horizontal="center" vertical="center" wrapText="1"/>
    </xf>
    <xf numFmtId="0" fontId="23" fillId="0" borderId="26" applyFont="1" applyFill="0" applyBorder="1">
      <alignment horizontal="left" vertical="center" wrapText="1"/>
    </xf>
    <xf numFmtId="49" fontId="23" fillId="0" borderId="26" applyFont="1" applyFill="0" applyBorder="1" applyNumberFormat="1">
      <alignment horizontal="left" vertical="center" wrapText="1"/>
    </xf>
    <xf numFmtId="49" fontId="27" fillId="0" borderId="27" applyFont="1" applyFill="0" applyBorder="1" applyNumberFormat="1">
      <alignment horizontal="left" vertical="center" wrapText="1"/>
    </xf>
    <xf numFmtId="0" fontId="27" fillId="0" borderId="0" applyFont="1" applyFill="0" applyBorder="0">
      <alignment horizontal="left" vertical="center" indent="1"/>
    </xf>
    <xf numFmtId="0" fontId="27" fillId="40" borderId="42" applyFont="1" applyFill="1" applyBorder="1">
      <alignment horizontal="center" vertical="top" wrapText="1"/>
    </xf>
    <xf numFmtId="0" fontId="23" fillId="0" borderId="28" applyFont="1" applyFill="0" applyBorder="1">
      <alignment horizontal="center" vertical="center"/>
    </xf>
    <xf numFmtId="0" fontId="48" fillId="0" borderId="29" applyFont="1" applyFill="0" applyBorder="1">
      <alignment horizontal="left" vertical="center"/>
    </xf>
    <xf numFmtId="49" fontId="23" fillId="0" borderId="23" applyFont="1" applyFill="0" applyBorder="1" applyNumberFormat="1">
      <alignment horizontal="left" vertical="top"/>
    </xf>
    <xf numFmtId="0" fontId="27" fillId="40" borderId="30" applyFont="1" applyFill="1" applyBorder="1">
      <alignment horizontal="center" vertical="top" wrapText="1"/>
    </xf>
    <xf numFmtId="0" fontId="48" fillId="0" borderId="35" applyFont="1" applyFill="0" applyBorder="1">
      <alignment horizontal="left" vertical="center"/>
    </xf>
    <xf numFmtId="0" fontId="48" fillId="0" borderId="45" applyFont="1" applyFill="0" applyBorder="1">
      <alignment horizontal="left" vertical="center"/>
    </xf>
    <xf numFmtId="0" fontId="23" fillId="0" borderId="45" applyFont="1" applyFill="0" applyBorder="1">
      <alignment vertical="center"/>
    </xf>
    <xf numFmtId="0" fontId="48" fillId="0" borderId="34" applyFont="1" applyFill="0" applyBorder="1">
      <alignment horizontal="left" vertical="center"/>
    </xf>
    <xf numFmtId="0" fontId="27" fillId="38" borderId="23" applyFont="1" applyFill="1" applyBorder="1">
      <alignment horizontal="left" vertical="top" wrapText="1"/>
      <protection locked="0"/>
    </xf>
    <xf numFmtId="49" fontId="27" fillId="0" borderId="0" applyFont="1" applyFill="0" applyBorder="0" applyNumberFormat="1">
      <alignment horizontal="left" vertical="center" indent="1"/>
    </xf>
    <xf numFmtId="0" fontId="23" fillId="38" borderId="23" applyFont="1" applyFill="1" applyBorder="1">
      <alignment horizontal="left" vertical="top"/>
      <protection locked="0"/>
    </xf>
    <xf numFmtId="0" fontId="23" fillId="0" borderId="32" applyFont="1" applyFill="0" applyBorder="1">
      <alignment horizontal="center" vertical="top"/>
    </xf>
    <xf numFmtId="0" fontId="27" fillId="0" borderId="32" applyFont="1" applyFill="0" applyBorder="1">
      <alignment horizontal="left" vertical="top" wrapText="1"/>
    </xf>
    <xf numFmtId="0" fontId="23" fillId="0" borderId="42" applyFont="1" applyFill="0" applyBorder="1">
      <alignment horizontal="center" vertical="top"/>
    </xf>
    <xf numFmtId="0" fontId="27" fillId="0" borderId="42" applyFont="1" applyFill="0" applyBorder="1">
      <alignment horizontal="left" vertical="top" wrapText="1"/>
    </xf>
    <xf numFmtId="0" fontId="23" fillId="0" borderId="30" applyFont="1" applyFill="0" applyBorder="1">
      <alignment horizontal="center" vertical="top"/>
    </xf>
    <xf numFmtId="0" fontId="27" fillId="0" borderId="30" applyFont="1" applyFill="0" applyBorder="1">
      <alignment horizontal="left" vertical="top" wrapText="1"/>
    </xf>
    <xf numFmtId="0" fontId="23" fillId="0" borderId="0" applyFont="1" applyFill="0" applyBorder="0">
      <alignment horizontal="left" vertical="top" wrapText="1"/>
    </xf>
    <xf numFmtId="0" fontId="23" fillId="0" borderId="0" applyFont="1" applyFill="0" applyBorder="0" quotePrefix="1">
      <alignment horizontal="left" vertical="top" wrapText="1" indent="1"/>
    </xf>
    <xf numFmtId="49" fontId="44" fillId="0" borderId="0" applyFont="1" applyFill="0" applyBorder="0" applyNumberFormat="1">
      <alignment vertical="top"/>
    </xf>
    <xf numFmtId="49" fontId="44" fillId="0" borderId="0" applyFont="1" applyFill="0" applyBorder="0" applyNumberFormat="1">
      <alignment horizontal="center" vertical="center"/>
    </xf>
    <xf numFmtId="49" fontId="56" fillId="0" borderId="0" applyFont="1" applyFill="0" applyBorder="0" applyNumberFormat="1">
      <alignment vertical="top"/>
    </xf>
    <xf numFmtId="0" fontId="27" fillId="0" borderId="26" applyFont="1" applyFill="0" applyBorder="1">
      <alignment horizontal="left" vertical="center" wrapText="1" indent="1"/>
    </xf>
    <xf numFmtId="0" fontId="27" fillId="0" borderId="45" applyFont="1" applyFill="0" applyBorder="1">
      <alignment horizontal="left" vertical="center" wrapText="1" indent="1"/>
    </xf>
    <xf numFmtId="0" fontId="27" fillId="0" borderId="33" applyFont="1" applyFill="0" applyBorder="1">
      <alignment horizontal="center" vertical="center" wrapText="1"/>
    </xf>
    <xf numFmtId="0" fontId="27" fillId="0" borderId="27" applyFont="1" applyFill="0" applyBorder="1">
      <alignment horizontal="center" vertical="center" wrapText="1"/>
    </xf>
    <xf numFmtId="0" fontId="27" fillId="0" borderId="42" applyFont="1" applyFill="0" applyBorder="1">
      <alignment horizontal="center" vertical="center" wrapText="1"/>
    </xf>
    <xf numFmtId="0" fontId="27" fillId="0" borderId="32" applyFont="1" applyFill="0" applyBorder="1">
      <alignment horizontal="center" vertical="center" wrapText="1"/>
    </xf>
    <xf numFmtId="0" fontId="27" fillId="0" borderId="28" applyFont="1" applyFill="0" applyBorder="1">
      <alignment horizontal="center" vertical="center" wrapText="1"/>
    </xf>
    <xf numFmtId="0" fontId="27" fillId="0" borderId="29" applyFont="1" applyFill="0" applyBorder="1">
      <alignment horizontal="center" vertical="center" wrapText="1"/>
    </xf>
    <xf numFmtId="0" fontId="27" fillId="0" borderId="35" applyFont="1" applyFill="0" applyBorder="1">
      <alignment horizontal="center" vertical="center" wrapText="1"/>
    </xf>
    <xf numFmtId="0" fontId="27" fillId="0" borderId="34" applyFont="1" applyFill="0" applyBorder="1">
      <alignment horizontal="center" vertical="center" wrapText="1"/>
    </xf>
    <xf numFmtId="49" fontId="27" fillId="0" borderId="0" applyFont="1" applyFill="0" applyBorder="0" applyNumberFormat="1">
      <alignment vertical="top"/>
    </xf>
    <xf numFmtId="49" fontId="27" fillId="0" borderId="23" applyFont="1" applyFill="0" applyBorder="1" applyNumberFormat="1">
      <alignment horizontal="center" vertical="center"/>
    </xf>
    <xf numFmtId="0" fontId="27" fillId="0" borderId="23" applyFont="1" applyFill="0" applyBorder="1">
      <alignment horizontal="left" vertical="center" wrapText="1"/>
    </xf>
    <xf numFmtId="49" fontId="27" fillId="40" borderId="32" applyFont="1" applyFill="1" applyBorder="1" applyNumberFormat="1">
      <alignment horizontal="center" vertical="center" wrapText="1"/>
    </xf>
    <xf numFmtId="49" fontId="27" fillId="0" borderId="33" applyFont="1" applyFill="0" applyBorder="1" applyNumberFormat="1">
      <alignment vertical="center" wrapText="1"/>
    </xf>
    <xf numFmtId="0" fontId="27" fillId="0" borderId="26" applyFont="1" applyFill="0" applyBorder="1">
      <alignment horizontal="center" vertical="center"/>
    </xf>
    <xf numFmtId="49" fontId="27" fillId="0" borderId="26" applyFont="1" applyFill="0" applyBorder="1" applyNumberFormat="1">
      <alignment vertical="center" wrapText="1"/>
    </xf>
    <xf numFmtId="49" fontId="50" fillId="0" borderId="26" applyFont="1" applyFill="0" applyBorder="1" applyNumberFormat="1">
      <alignment vertical="center" wrapText="1"/>
    </xf>
    <xf numFmtId="0" fontId="27" fillId="0" borderId="26" applyFont="1" applyFill="0" applyBorder="1">
      <alignment horizontal="left" vertical="center" wrapText="1"/>
    </xf>
    <xf numFmtId="49" fontId="27" fillId="40" borderId="42" applyFont="1" applyFill="1" applyBorder="1" applyNumberFormat="1">
      <alignment horizontal="center" vertical="center" wrapText="1"/>
    </xf>
    <xf numFmtId="49" fontId="27" fillId="0" borderId="28" applyFont="1" applyFill="0" applyBorder="1" applyNumberFormat="1">
      <alignment vertical="center" wrapText="1"/>
    </xf>
    <xf numFmtId="0" fontId="48" fillId="0" borderId="28" applyFont="1" applyFill="0" applyBorder="1">
      <alignment horizontal="left" vertical="center"/>
    </xf>
    <xf numFmtId="49" fontId="27" fillId="0" borderId="32" applyFont="1" applyFill="0" applyBorder="1" applyNumberFormat="1">
      <alignment horizontal="center" vertical="center"/>
    </xf>
    <xf numFmtId="0" fontId="27" fillId="0" borderId="32" applyFont="1" applyFill="0" applyBorder="1">
      <alignment horizontal="left" vertical="center" wrapText="1"/>
    </xf>
    <xf numFmtId="0" fontId="27" fillId="0" borderId="33" applyFont="1" applyFill="0" applyBorder="1">
      <alignment horizontal="left" vertical="center" wrapText="1"/>
    </xf>
    <xf numFmtId="49" fontId="56" fillId="0" borderId="35" applyFont="1" applyFill="0" applyBorder="1" applyNumberFormat="1">
      <alignment vertical="top"/>
    </xf>
    <xf numFmtId="49" fontId="56" fillId="0" borderId="45" applyFont="1" applyFill="0" applyBorder="1" applyNumberFormat="1">
      <alignment vertical="top"/>
    </xf>
    <xf numFmtId="49" fontId="28" fillId="0" borderId="0" applyFont="1" applyFill="0" applyBorder="0" applyNumberFormat="1">
      <alignment vertical="top"/>
    </xf>
    <xf numFmtId="0" fontId="27" fillId="0" borderId="21" applyFont="1" applyFill="0" applyBorder="1">
      <alignment horizontal="left" vertical="center" wrapText="1"/>
    </xf>
    <xf numFmtId="0" fontId="27" fillId="39" borderId="0" applyFont="1" applyFill="1" applyBorder="0"/>
    <xf numFmtId="0" fontId="23" fillId="39" borderId="0" applyFont="1" applyFill="1" applyBorder="0"/>
    <xf numFmtId="0" fontId="44" fillId="39" borderId="0" applyFont="1" applyFill="1" applyBorder="0"/>
    <xf numFmtId="0" fontId="40" fillId="39" borderId="0" applyFont="1" applyFill="1" applyBorder="0">
      <alignment horizontal="center"/>
    </xf>
    <xf numFmtId="0" fontId="40" fillId="39" borderId="0" applyFont="1" applyFill="1" applyBorder="0"/>
    <xf numFmtId="0" fontId="57" fillId="39" borderId="0" applyFont="1" applyFill="1" applyBorder="0">
      <alignment horizontal="right" vertical="center"/>
    </xf>
    <xf numFmtId="0" fontId="44" fillId="39" borderId="0" applyFont="1" applyFill="1" applyBorder="0">
      <alignment vertical="center" wrapText="1"/>
    </xf>
    <xf numFmtId="0" fontId="35" fillId="39" borderId="0" applyFont="1" applyFill="1" applyBorder="0">
      <alignment horizontal="left" vertical="center" wrapText="1"/>
    </xf>
    <xf numFmtId="49" fontId="23" fillId="39" borderId="23" applyFont="1" applyFill="1" applyBorder="1" applyNumberFormat="1">
      <alignment horizontal="center" vertical="center" wrapText="1"/>
    </xf>
    <xf numFmtId="49" fontId="27" fillId="39" borderId="23" applyFont="1" applyFill="1" applyBorder="1" applyNumberFormat="1">
      <alignment horizontal="center" vertical="center" wrapText="1"/>
    </xf>
    <xf numFmtId="0" fontId="23" fillId="39" borderId="23" applyFont="1" applyFill="1" applyBorder="1">
      <alignment horizontal="center" vertical="center" wrapText="1"/>
    </xf>
    <xf numFmtId="0" fontId="27" fillId="39" borderId="23" applyFont="1" applyFill="1" applyBorder="1">
      <alignment horizontal="center" vertical="center" wrapText="1"/>
    </xf>
    <xf numFmtId="0" fontId="47" fillId="39" borderId="0" applyFont="1" applyFill="1" applyBorder="0">
      <alignment horizontal="center" vertical="center"/>
    </xf>
    <xf numFmtId="49" fontId="44" fillId="0" borderId="23" applyFont="1" applyFill="0" applyBorder="1" applyNumberFormat="1">
      <alignment horizontal="center" vertical="center"/>
    </xf>
    <xf numFmtId="0" fontId="44" fillId="0" borderId="23" applyFont="1" applyFill="0" applyBorder="1">
      <alignment vertical="center" wrapText="1"/>
    </xf>
    <xf numFmtId="0" fontId="44" fillId="0" borderId="23" applyFont="1" applyFill="0" applyBorder="1">
      <alignment horizontal="left" vertical="center" wrapText="1"/>
    </xf>
    <xf numFmtId="0" fontId="58" fillId="39" borderId="0" applyFont="1" applyFill="1" applyBorder="0"/>
    <xf numFmtId="49" fontId="23" fillId="39" borderId="23" applyFont="1" applyFill="1" applyBorder="1" applyNumberFormat="1">
      <alignment horizontal="center" vertical="center"/>
    </xf>
    <xf numFmtId="0" fontId="23" fillId="39" borderId="23" applyFont="1" applyFill="1" applyBorder="1">
      <alignment vertical="center" wrapText="1"/>
    </xf>
    <xf numFmtId="0" fontId="27" fillId="39" borderId="23" applyFont="1" applyFill="1" applyBorder="1">
      <alignment vertical="center" wrapText="1"/>
    </xf>
    <xf numFmtId="0" fontId="23" fillId="39" borderId="23" applyFont="1" applyFill="1" applyBorder="1">
      <alignment horizontal="left" vertical="center" wrapText="1" indent="1"/>
    </xf>
    <xf numFmtId="49" fontId="23" fillId="38" borderId="23" applyFont="1" applyFill="1" applyBorder="1" applyNumberFormat="1">
      <alignment horizontal="left" vertical="center" wrapText="1"/>
      <protection locked="0"/>
    </xf>
    <xf numFmtId="0" fontId="44" fillId="0" borderId="23" applyFont="1" applyFill="0" applyBorder="1">
      <alignment horizontal="left" vertical="center" wrapText="1" indent="1"/>
    </xf>
    <xf numFmtId="49" fontId="27" fillId="39" borderId="0" applyFont="1" applyFill="1" applyBorder="0" applyNumberFormat="1">
      <alignment horizontal="center" vertical="center" wrapText="1"/>
    </xf>
    <xf numFmtId="0" fontId="27" fillId="39" borderId="29" applyFont="1" applyFill="1" applyBorder="1">
      <alignment horizontal="center" vertical="center" wrapText="1"/>
    </xf>
    <xf numFmtId="0" fontId="23" fillId="39" borderId="23" applyFont="1" applyFill="1" applyBorder="1">
      <alignment horizontal="center" vertical="center"/>
    </xf>
    <xf numFmtId="0" fontId="23" fillId="39" borderId="23" applyFont="1" applyFill="1" applyBorder="1">
      <alignment horizontal="left" vertical="center" wrapText="1" indent="2"/>
    </xf>
    <xf numFmtId="49" fontId="23" fillId="0" borderId="23" applyFont="1" applyFill="0" applyBorder="1" applyNumberFormat="1">
      <alignment horizontal="left" vertical="center" wrapText="1"/>
    </xf>
    <xf numFmtId="49" fontId="27" fillId="39" borderId="0" applyFont="1" applyFill="1" applyBorder="0" applyNumberFormat="1">
      <alignment vertical="center" wrapText="1"/>
    </xf>
    <xf numFmtId="0" fontId="27" fillId="39" borderId="29" applyFont="1" applyFill="1" applyBorder="1">
      <alignment vertical="center" wrapText="1"/>
    </xf>
    <xf numFmtId="0" fontId="27" fillId="41" borderId="21" applyFont="1" applyFill="1" applyBorder="1">
      <alignment horizontal="center"/>
    </xf>
    <xf numFmtId="0" fontId="57" fillId="41" borderId="25" applyFont="1" applyFill="1" applyBorder="1">
      <alignment horizontal="left" vertical="center"/>
    </xf>
    <xf numFmtId="0" fontId="57" fillId="41" borderId="20" applyFont="1" applyFill="1" applyBorder="1">
      <alignment horizontal="left" vertical="center"/>
    </xf>
    <xf numFmtId="49" fontId="44" fillId="39" borderId="23" applyFont="1" applyFill="1" applyBorder="1" applyNumberFormat="1">
      <alignment horizontal="center" vertical="center"/>
    </xf>
    <xf numFmtId="0" fontId="44" fillId="39" borderId="23" applyFont="1" applyFill="1" applyBorder="1">
      <alignment vertical="center" wrapText="1"/>
    </xf>
    <xf numFmtId="0" fontId="44" fillId="39" borderId="23" applyFont="1" applyFill="1" applyBorder="1">
      <alignment horizontal="left" vertical="center" wrapText="1" indent="1"/>
    </xf>
    <xf numFmtId="0" fontId="44" fillId="39" borderId="23" applyFont="1" applyFill="1" applyBorder="1">
      <alignment horizontal="left" vertical="center" wrapText="1" indent="2"/>
    </xf>
    <xf numFmtId="49" fontId="44" fillId="0" borderId="23" applyFont="1" applyFill="0" applyBorder="1" applyNumberFormat="1">
      <alignment horizontal="left" vertical="center" wrapText="1"/>
    </xf>
    <xf numFmtId="0" fontId="23" fillId="39" borderId="23" applyFont="1" applyFill="1" applyBorder="1">
      <alignment horizontal="left" vertical="center" wrapText="1"/>
    </xf>
    <xf numFmtId="49" fontId="23" fillId="35" borderId="23" applyFont="1" applyFill="1" applyBorder="1" applyNumberFormat="1">
      <alignment horizontal="left" vertical="center" wrapText="1"/>
      <protection locked="0"/>
    </xf>
    <xf numFmtId="0" fontId="23" fillId="39" borderId="32" applyFont="1" applyFill="1" applyBorder="1">
      <alignment horizontal="left" vertical="center" wrapText="1"/>
    </xf>
    <xf numFmtId="0" fontId="27" fillId="39" borderId="32" applyFont="1" applyFill="1" applyBorder="1">
      <alignment horizontal="left" vertical="top" wrapText="1"/>
    </xf>
    <xf numFmtId="49" fontId="23" fillId="0" borderId="23" applyFont="1" applyFill="0" applyBorder="1" applyNumberFormat="1">
      <alignment horizontal="left" vertical="center" wrapText="1" indent="1"/>
    </xf>
    <xf numFmtId="0" fontId="27" fillId="39" borderId="42" applyFont="1" applyFill="1" applyBorder="1">
      <alignment horizontal="left" vertical="top" wrapText="1"/>
    </xf>
    <xf numFmtId="0" fontId="50" fillId="39" borderId="0" applyFont="1" applyFill="1" applyBorder="0">
      <alignment horizontal="center" vertical="center" wrapText="1"/>
    </xf>
    <xf numFmtId="49" fontId="23" fillId="38" borderId="23" applyFont="1" applyFill="1" applyBorder="1" applyNumberFormat="1">
      <alignment horizontal="left" vertical="center" wrapText="1" indent="1"/>
      <protection locked="0"/>
    </xf>
    <xf numFmtId="49" fontId="27" fillId="38" borderId="21" applyFont="1" applyFill="1" applyBorder="1" applyNumberFormat="1">
      <alignment horizontal="left" vertical="center" wrapText="1"/>
      <protection locked="0"/>
    </xf>
    <xf numFmtId="0" fontId="27" fillId="39" borderId="30" applyFont="1" applyFill="1" applyBorder="1">
      <alignment horizontal="left" vertical="top" wrapText="1"/>
    </xf>
    <xf numFmtId="0" fontId="59" fillId="39" borderId="0" applyFont="1" applyFill="1" applyBorder="0"/>
    <xf numFmtId="49" fontId="27" fillId="38" borderId="23" applyFont="1" applyFill="1" applyBorder="1" applyNumberFormat="1" quotePrefix="1">
      <alignment horizontal="left" vertical="center" wrapText="1"/>
      <protection locked="0"/>
    </xf>
    <xf numFmtId="49" fontId="27" fillId="35" borderId="23" applyFont="1" applyFill="1" applyBorder="1" applyNumberFormat="1">
      <alignment horizontal="left" vertical="center" wrapText="1"/>
      <protection locked="0"/>
    </xf>
    <xf numFmtId="49" fontId="27" fillId="40" borderId="23" applyFont="1" applyFill="1" applyBorder="1" applyNumberFormat="1">
      <alignment horizontal="left" vertical="center" wrapText="1"/>
    </xf>
    <xf numFmtId="0" fontId="23" fillId="39" borderId="21" applyFont="1" applyFill="1" applyBorder="1">
      <alignment horizontal="left" vertical="center" wrapText="1" indent="1"/>
    </xf>
    <xf numFmtId="49" fontId="27" fillId="40" borderId="21" applyFont="1" applyFill="1" applyBorder="1" applyNumberFormat="1">
      <alignment horizontal="left" vertical="center" wrapText="1"/>
    </xf>
    <xf numFmtId="0" fontId="23" fillId="39" borderId="23" applyFont="1" applyFill="1" applyBorder="1">
      <alignment vertical="top" wrapText="1"/>
    </xf>
    <xf numFmtId="0" fontId="23" fillId="39" borderId="21" applyFont="1" applyFill="1" applyBorder="1">
      <alignment horizontal="left" vertical="center" wrapText="1"/>
    </xf>
    <xf numFmtId="0" fontId="23" fillId="39" borderId="30" applyFont="1" applyFill="1" applyBorder="1">
      <alignment vertical="center" wrapText="1"/>
    </xf>
    <xf numFmtId="0" fontId="49" fillId="0" borderId="0" applyFont="1" applyFill="0" applyBorder="0">
      <alignment horizontal="left" vertical="top" wrapText="1" indent="1"/>
    </xf>
    <xf numFmtId="0" fontId="60" fillId="39" borderId="0" applyFont="1" applyFill="1" applyBorder="0"/>
    <xf numFmtId="0" fontId="53" fillId="39" borderId="0" applyFont="1" applyFill="1" applyBorder="0">
      <alignment horizontal="center"/>
    </xf>
    <xf numFmtId="0" fontId="53" fillId="39" borderId="0" applyFont="1" applyFill="1" applyBorder="0"/>
    <xf numFmtId="0" fontId="61" fillId="39" borderId="0" applyFont="1" applyFill="1" applyBorder="0">
      <alignment horizontal="right" vertical="center"/>
    </xf>
    <xf numFmtId="0" fontId="62" fillId="39" borderId="0" applyFont="1" applyFill="1" applyBorder="0">
      <alignment vertical="center"/>
    </xf>
    <xf numFmtId="0" fontId="61" fillId="39" borderId="0" applyFont="1" applyFill="1" applyBorder="0">
      <alignment horizontal="right" vertical="top"/>
    </xf>
    <xf numFmtId="0" fontId="62" fillId="39" borderId="0" applyFont="1" applyFill="1" applyBorder="0">
      <alignment vertical="center" wrapText="1"/>
    </xf>
    <xf numFmtId="0" fontId="23" fillId="39" borderId="0" applyFont="1" applyFill="1" applyBorder="0">
      <alignment horizontal="center"/>
    </xf>
    <xf numFmtId="0" fontId="37" fillId="0" borderId="0" applyFont="1" applyFill="0" applyBorder="0">
      <alignment horizontal="center" vertical="center" wrapText="1"/>
    </xf>
    <xf numFmtId="0" fontId="63" fillId="39" borderId="0" applyFont="1" applyFill="1" applyBorder="0">
      <alignment horizontal="center" vertical="center" wrapText="1"/>
    </xf>
    <xf numFmtId="0" fontId="63" fillId="39" borderId="0" applyFont="1" applyFill="1" applyBorder="0">
      <alignment horizontal="right" vertical="center" wrapText="1"/>
    </xf>
    <xf numFmtId="0" fontId="63" fillId="0" borderId="0" applyFont="1" applyFill="0" applyBorder="0">
      <alignment vertical="center" wrapText="1"/>
    </xf>
    <xf numFmtId="0" fontId="27" fillId="0" borderId="34" applyFont="1" applyFill="0" applyBorder="1">
      <alignment horizontal="left" vertical="center" wrapText="1" indent="1"/>
    </xf>
    <xf numFmtId="0" fontId="27" fillId="0" borderId="30" applyFont="1" applyFill="0" applyBorder="1">
      <alignment horizontal="left" vertical="center" wrapText="1" indent="1"/>
    </xf>
    <xf numFmtId="0" fontId="27" fillId="0" borderId="35" applyFont="1" applyFill="0" applyBorder="1">
      <alignment horizontal="left" vertical="center" wrapText="1" indent="1"/>
    </xf>
    <xf numFmtId="0" fontId="64" fillId="39" borderId="0" applyFont="1" applyFill="1" applyBorder="0">
      <alignment horizontal="center" vertical="center" wrapText="1"/>
    </xf>
    <xf numFmtId="0" fontId="23" fillId="0" borderId="21" applyFont="1" applyFill="0" applyBorder="1">
      <alignment horizontal="center" vertical="center" wrapText="1"/>
    </xf>
    <xf numFmtId="0" fontId="23" fillId="0" borderId="25" applyFont="1" applyFill="0" applyBorder="1">
      <alignment horizontal="center" vertical="center" wrapText="1"/>
    </xf>
    <xf numFmtId="0" fontId="23" fillId="0" borderId="20" applyFont="1" applyFill="0" applyBorder="1">
      <alignment horizontal="center" vertical="center" wrapText="1"/>
    </xf>
    <xf numFmtId="0" fontId="23" fillId="0" borderId="32" applyFont="1" applyFill="0" applyBorder="1">
      <alignment horizontal="center" vertical="center" wrapText="1"/>
    </xf>
    <xf numFmtId="0" fontId="23" fillId="0" borderId="33" applyFont="1" applyFill="0" applyBorder="1">
      <alignment horizontal="center" vertical="center" wrapText="1"/>
    </xf>
    <xf numFmtId="0" fontId="23" fillId="0" borderId="27" applyFont="1" applyFill="0" applyBorder="1">
      <alignment horizontal="center" vertical="center" wrapText="1"/>
    </xf>
    <xf numFmtId="0" fontId="23" fillId="0" borderId="30" applyFont="1" applyFill="0" applyBorder="1">
      <alignment horizontal="center" vertical="center" wrapText="1"/>
    </xf>
    <xf numFmtId="0" fontId="23" fillId="0" borderId="35" applyFont="1" applyFill="0" applyBorder="1">
      <alignment horizontal="center" vertical="center" wrapText="1"/>
    </xf>
    <xf numFmtId="0" fontId="23" fillId="0" borderId="34" applyFont="1" applyFill="0" applyBorder="1">
      <alignment horizontal="center" vertical="center" wrapText="1"/>
    </xf>
    <xf numFmtId="0" fontId="47" fillId="39" borderId="0" applyFont="1" applyFill="1" applyBorder="0">
      <alignment horizontal="center" vertical="center" wrapText="1"/>
    </xf>
    <xf numFmtId="49" fontId="47" fillId="39" borderId="0" applyFont="1" applyFill="1" applyBorder="0" applyNumberFormat="1">
      <alignment horizontal="center" vertical="center" wrapText="1"/>
    </xf>
    <xf numFmtId="0" fontId="65" fillId="39" borderId="0" applyFont="1" applyFill="1" applyBorder="0">
      <alignment horizontal="center" vertical="center" wrapText="1"/>
    </xf>
    <xf numFmtId="49" fontId="55" fillId="0" borderId="32" applyFont="1" applyFill="0" applyBorder="1" applyNumberFormat="1">
      <alignment horizontal="left" vertical="center" wrapText="1"/>
    </xf>
    <xf numFmtId="49" fontId="55" fillId="0" borderId="23" applyFont="1" applyFill="0" applyBorder="1" applyNumberFormat="1">
      <alignment horizontal="left" vertical="center" wrapText="1"/>
    </xf>
    <xf numFmtId="49" fontId="23" fillId="0" borderId="23" applyFont="1" applyFill="0" applyBorder="1" applyNumberFormat="1">
      <alignment vertical="top" wrapText="1"/>
    </xf>
    <xf numFmtId="0" fontId="55" fillId="0" borderId="0" applyFont="1" applyFill="0" applyBorder="0">
      <alignment vertical="center" wrapText="1"/>
    </xf>
    <xf numFmtId="49" fontId="23" fillId="0" borderId="23" applyFont="1" applyFill="0" applyBorder="1" applyNumberFormat="1">
      <alignment horizontal="center" vertical="center" wrapText="1"/>
    </xf>
    <xf numFmtId="0" fontId="27" fillId="40" borderId="21" applyFont="1" applyFill="1" applyBorder="1">
      <alignment horizontal="left" vertical="center" wrapText="1"/>
    </xf>
    <xf numFmtId="49" fontId="47" fillId="39" borderId="23" applyFont="1" applyFill="1" applyBorder="1" applyNumberFormat="1">
      <alignment horizontal="center" vertical="center" wrapText="1"/>
    </xf>
    <xf numFmtId="4" fontId="23" fillId="38" borderId="23" applyFont="1" applyFill="1" applyBorder="1" applyNumberFormat="1">
      <alignment horizontal="right" vertical="center" wrapText="1"/>
      <protection locked="0"/>
    </xf>
    <xf numFmtId="3" fontId="23" fillId="38" borderId="23" applyFont="1" applyFill="1" applyBorder="1" applyNumberFormat="1">
      <alignment horizontal="right" vertical="center" wrapText="1"/>
      <protection locked="0"/>
    </xf>
    <xf numFmtId="4" fontId="23" fillId="38" borderId="20" applyFont="1" applyFill="1" applyBorder="1" applyNumberFormat="1">
      <alignment horizontal="right" vertical="center" wrapText="1"/>
      <protection locked="0"/>
    </xf>
    <xf numFmtId="0" fontId="23" fillId="35" borderId="23" applyFont="1" applyFill="1" applyBorder="1">
      <alignment horizontal="right" vertical="center" wrapText="1"/>
      <protection locked="0"/>
    </xf>
    <xf numFmtId="3" fontId="23" fillId="0" borderId="20" applyFont="1" applyFill="0" applyBorder="1" applyNumberFormat="1">
      <alignment horizontal="right" vertical="center" wrapText="1"/>
    </xf>
    <xf numFmtId="0" fontId="23" fillId="0" borderId="32" applyFont="1" applyFill="0" applyBorder="1">
      <alignment horizontal="left" vertical="top" wrapText="1"/>
    </xf>
    <xf numFmtId="49" fontId="31" fillId="41" borderId="21" applyFont="1" applyFill="1" applyBorder="1" applyNumberFormat="1">
      <alignment horizontal="center" vertical="center"/>
    </xf>
    <xf numFmtId="0" fontId="48" fillId="41" borderId="25" applyFont="1" applyFill="1" applyBorder="1">
      <alignment vertical="center"/>
    </xf>
    <xf numFmtId="49" fontId="48" fillId="41" borderId="25" applyFont="1" applyFill="1" applyBorder="1" applyNumberFormat="1">
      <alignment vertical="center"/>
    </xf>
    <xf numFmtId="49" fontId="57" fillId="41" borderId="25" applyFont="1" applyFill="1" applyBorder="1" applyNumberFormat="1">
      <alignment vertical="center"/>
    </xf>
    <xf numFmtId="49" fontId="57" fillId="41" borderId="20" applyFont="1" applyFill="1" applyBorder="1" applyNumberFormat="1">
      <alignment vertical="center"/>
    </xf>
    <xf numFmtId="0" fontId="23" fillId="0" borderId="30" applyFont="1" applyFill="0" applyBorder="1">
      <alignment horizontal="left" vertical="top" wrapText="1"/>
    </xf>
    <xf numFmtId="49" fontId="23" fillId="0" borderId="33" applyFont="1" applyFill="0" applyBorder="1" applyNumberFormat="1">
      <alignment horizontal="center" vertical="center" wrapText="1"/>
    </xf>
    <xf numFmtId="0" fontId="27" fillId="40" borderId="26" applyFont="1" applyFill="1" applyBorder="1">
      <alignment horizontal="left" vertical="center" wrapText="1"/>
    </xf>
    <xf numFmtId="0" fontId="50" fillId="39" borderId="23" applyFont="1" applyFill="1" applyBorder="1">
      <alignment horizontal="center" vertical="center" wrapText="1"/>
    </xf>
    <xf numFmtId="49" fontId="27" fillId="38" borderId="23" applyFont="1" applyFill="1" applyBorder="1" applyNumberFormat="1">
      <alignment horizontal="left" vertical="center" wrapText="1"/>
      <protection locked="0"/>
    </xf>
    <xf numFmtId="3" fontId="27" fillId="38" borderId="23" applyFont="1" applyFill="1" applyBorder="1" applyNumberFormat="1">
      <alignment horizontal="right" vertical="center" wrapText="1"/>
      <protection locked="0"/>
    </xf>
    <xf numFmtId="49" fontId="23" fillId="0" borderId="35" applyFont="1" applyFill="0" applyBorder="1" applyNumberFormat="1">
      <alignment horizontal="center" vertical="center" wrapText="1"/>
    </xf>
    <xf numFmtId="0" fontId="27" fillId="40" borderId="45" applyFont="1" applyFill="1" applyBorder="1">
      <alignment horizontal="left" vertical="center" wrapText="1"/>
    </xf>
    <xf numFmtId="0" fontId="27" fillId="0" borderId="26" applyFont="1" applyFill="0" applyBorder="1">
      <alignment horizontal="left" vertical="top" wrapText="1" indent="1"/>
    </xf>
    <xf numFmtId="0" fontId="29" fillId="39" borderId="0" applyFont="1" applyFill="1" applyBorder="0">
      <alignment horizontal="right" vertical="center"/>
    </xf>
    <xf numFmtId="0" fontId="29" fillId="39" borderId="0" applyFont="1" applyFill="1" applyBorder="0">
      <alignment horizontal="right" vertical="center" wrapText="1"/>
    </xf>
    <xf numFmtId="49" fontId="47" fillId="39" borderId="25" applyFont="1" applyFill="1" applyBorder="1" applyNumberFormat="1">
      <alignment horizontal="center" vertical="center" wrapText="1"/>
    </xf>
    <xf numFmtId="49" fontId="27" fillId="0" borderId="23" applyFont="1" applyFill="0" applyBorder="1" applyNumberFormat="1">
      <alignment horizontal="left" vertical="center" wrapText="1"/>
    </xf>
    <xf numFmtId="0" fontId="50" fillId="39" borderId="29" applyFont="1" applyFill="1" applyBorder="1">
      <alignment vertical="top" wrapText="1"/>
    </xf>
    <xf numFmtId="14" fontId="27" fillId="41" borderId="25" applyFont="1" applyFill="1" applyBorder="1" applyNumberFormat="1">
      <alignment horizontal="center" vertical="center" wrapText="1"/>
    </xf>
    <xf numFmtId="14" fontId="54" fillId="41" borderId="25" applyFont="1" applyFill="1" applyBorder="1" applyNumberFormat="1">
      <alignment horizontal="center" vertical="center" wrapText="1"/>
    </xf>
    <xf numFmtId="49" fontId="36" fillId="41" borderId="20" applyFont="1" applyFill="1" applyBorder="1" applyNumberFormat="1">
      <alignment horizontal="left" vertical="center" wrapText="1"/>
    </xf>
    <xf numFmtId="0" fontId="23" fillId="0" borderId="42" applyFont="1" applyFill="0" applyBorder="1">
      <alignment horizontal="left" vertical="top" wrapText="1"/>
    </xf>
    <xf numFmtId="0" fontId="50" fillId="39" borderId="0" applyFont="1" applyFill="1" applyBorder="0">
      <alignment vertical="top" wrapText="1"/>
    </xf>
    <xf numFmtId="0" fontId="44" fillId="39" borderId="30" applyFont="1" applyFill="1" applyBorder="1">
      <alignment horizontal="center" vertical="center" wrapText="1"/>
    </xf>
    <xf numFmtId="14" fontId="27" fillId="40" borderId="30" applyFont="1" applyFill="1" applyBorder="1" applyNumberFormat="1">
      <alignment horizontal="left" vertical="center" wrapText="1"/>
    </xf>
    <xf numFmtId="14" fontId="27" fillId="40" borderId="23" applyFont="1" applyFill="1" applyBorder="1" applyNumberFormat="1">
      <alignment horizontal="center" vertical="center" wrapText="1"/>
    </xf>
    <xf numFmtId="49" fontId="36" fillId="38" borderId="23" applyFont="1" applyFill="1" applyBorder="1" applyNumberFormat="1">
      <alignment horizontal="left" vertical="center" wrapText="1"/>
      <protection locked="0"/>
    </xf>
    <xf numFmtId="0" fontId="44" fillId="0" borderId="0" applyFont="1" applyFill="0" applyBorder="0">
      <alignment horizontal="left" vertical="center" wrapText="1"/>
    </xf>
    <xf numFmtId="49" fontId="44" fillId="0" borderId="0" applyFont="1" applyFill="0" applyBorder="0" applyNumberFormat="1">
      <alignment horizontal="left" vertical="center" wrapText="1"/>
    </xf>
    <xf numFmtId="49" fontId="31" fillId="41" borderId="25" applyFont="1" applyFill="1" applyBorder="1" applyNumberFormat="1">
      <alignment horizontal="center" vertical="center"/>
    </xf>
    <xf numFmtId="49" fontId="57" fillId="41" borderId="25" applyFont="1" applyFill="1" applyBorder="1" applyNumberFormat="1">
      <alignment horizontal="left" vertical="center" indent="1"/>
    </xf>
    <xf numFmtId="49" fontId="57" fillId="41" borderId="20" applyFont="1" applyFill="1" applyBorder="1" applyNumberFormat="1">
      <alignment horizontal="left" vertical="center" indent="1"/>
    </xf>
    <xf numFmtId="0" fontId="49" fillId="0" borderId="0" applyFont="1" applyFill="0" applyBorder="0">
      <alignment vertical="top"/>
    </xf>
    <xf numFmtId="49" fontId="66" fillId="0" borderId="23" applyFont="1" applyFill="0" applyBorder="1" applyNumberFormat="1">
      <alignment vertical="top" wrapText="1"/>
    </xf>
    <xf numFmtId="49" fontId="33" fillId="0" borderId="23" applyFont="1" applyFill="0" applyBorder="1" applyNumberFormat="1">
      <alignment horizontal="center" vertical="top" wrapText="1"/>
    </xf>
    <xf numFmtId="49" fontId="33" fillId="43" borderId="23" applyFont="1" applyFill="1" applyBorder="1" applyNumberFormat="1">
      <alignment horizontal="center" vertical="top"/>
    </xf>
    <xf numFmtId="49" fontId="33" fillId="0" borderId="23" applyFont="1" applyFill="0" applyBorder="1" applyNumberFormat="1">
      <alignment vertical="top" wrapText="1"/>
    </xf>
    <xf numFmtId="0" fontId="33" fillId="0" borderId="23" applyFont="1" applyFill="0" applyBorder="1">
      <alignment vertical="top" wrapText="1"/>
    </xf>
    <xf numFmtId="49" fontId="33" fillId="0" borderId="23" applyFont="1" applyFill="0" applyBorder="1" applyNumberFormat="1">
      <alignment vertical="top"/>
    </xf>
    <xf numFmtId="49" fontId="66" fillId="0" borderId="23" applyFont="1" applyFill="0" applyBorder="1" applyNumberFormat="1">
      <alignment vertical="top"/>
    </xf>
    <xf numFmtId="0" fontId="66" fillId="0" borderId="23" applyFont="1" applyFill="0" applyBorder="1">
      <alignment vertical="top" wrapText="1"/>
    </xf>
    <xf numFmtId="49" fontId="66" fillId="0" borderId="23" applyFont="1" applyFill="0" applyBorder="1" applyNumberFormat="1">
      <alignment horizontal="center" vertical="top" wrapText="1"/>
    </xf>
    <xf numFmtId="49" fontId="66" fillId="43" borderId="23" applyFont="1" applyFill="1" applyBorder="1" applyNumberFormat="1">
      <alignment horizontal="center" vertical="top" wrapText="1"/>
    </xf>
    <xf numFmtId="49" fontId="33" fillId="43" borderId="23" applyFont="1" applyFill="1" applyBorder="1" applyNumberFormat="1">
      <alignment horizontal="center" vertical="top" wrapText="1"/>
    </xf>
    <xf numFmtId="49" fontId="66" fillId="0" borderId="23" applyFont="1" applyFill="0" applyBorder="1" applyNumberFormat="1">
      <alignment horizontal="left" vertical="top" wrapText="1"/>
    </xf>
    <xf numFmtId="0" fontId="33" fillId="43" borderId="23" applyFont="1" applyFill="1" applyBorder="1">
      <alignment horizontal="center" vertical="top" wrapText="1"/>
    </xf>
    <xf numFmtId="0" fontId="66" fillId="43" borderId="23" applyFont="1" applyFill="1" applyBorder="1">
      <alignment horizontal="right" vertical="center" wrapText="1"/>
    </xf>
    <xf numFmtId="49" fontId="66" fillId="0" borderId="21" applyFont="1" applyFill="0" applyBorder="1" applyNumberFormat="1">
      <alignment horizontal="center" vertical="top" wrapText="1"/>
    </xf>
    <xf numFmtId="49" fontId="66" fillId="0" borderId="25" applyFont="1" applyFill="0" applyBorder="1" applyNumberFormat="1">
      <alignment horizontal="center" vertical="top" wrapText="1"/>
    </xf>
    <xf numFmtId="49" fontId="66" fillId="0" borderId="20" applyFont="1" applyFill="0" applyBorder="1" applyNumberFormat="1">
      <alignment horizontal="center" vertical="top" wrapText="1"/>
    </xf>
    <xf numFmtId="0" fontId="66" fillId="0" borderId="23" applyFont="1" applyFill="0" applyBorder="1">
      <alignment horizontal="left" vertical="top" wrapText="1"/>
    </xf>
    <xf numFmtId="49" fontId="66" fillId="43" borderId="23" applyFont="1" applyFill="1" applyBorder="1" applyNumberFormat="1">
      <alignment horizontal="left" vertical="top" wrapText="1"/>
    </xf>
    <xf numFmtId="0" fontId="66" fillId="43" borderId="23" applyFont="1" applyFill="1" applyBorder="1">
      <alignment horizontal="center" vertical="center" wrapText="1"/>
    </xf>
    <xf numFmtId="49" fontId="66" fillId="0" borderId="32" applyFont="1" applyFill="0" applyBorder="1" applyNumberFormat="1">
      <alignment horizontal="center" vertical="top" wrapText="1"/>
    </xf>
    <xf numFmtId="49" fontId="66" fillId="0" borderId="42" applyFont="1" applyFill="0" applyBorder="1" applyNumberFormat="1">
      <alignment horizontal="center" vertical="top" wrapText="1"/>
    </xf>
    <xf numFmtId="0" fontId="66" fillId="0" borderId="32" applyFont="1" applyFill="0" applyBorder="1">
      <alignment horizontal="left" vertical="top" wrapText="1"/>
    </xf>
    <xf numFmtId="49" fontId="66" fillId="0" borderId="33" applyFont="1" applyFill="0" applyBorder="1" applyNumberFormat="1">
      <alignment horizontal="center" vertical="top" wrapText="1"/>
    </xf>
    <xf numFmtId="0" fontId="66" fillId="0" borderId="20" applyFont="1" applyFill="0" applyBorder="1">
      <alignment horizontal="left" vertical="top" wrapText="1"/>
    </xf>
    <xf numFmtId="49" fontId="66" fillId="0" borderId="30" applyFont="1" applyFill="0" applyBorder="1" applyNumberFormat="1">
      <alignment horizontal="center" vertical="top" wrapText="1"/>
    </xf>
    <xf numFmtId="49" fontId="66" fillId="0" borderId="35" applyFont="1" applyFill="0" applyBorder="1" applyNumberFormat="1">
      <alignment horizontal="center" vertical="top" wrapText="1"/>
    </xf>
    <xf numFmtId="49" fontId="66" fillId="0" borderId="28" applyFont="1" applyFill="0" applyBorder="1" applyNumberFormat="1">
      <alignment horizontal="center" vertical="top" wrapText="1"/>
    </xf>
    <xf numFmtId="0" fontId="66" fillId="0" borderId="32" applyFont="1" applyFill="0" applyBorder="1">
      <alignment vertical="top" wrapText="1"/>
    </xf>
    <xf numFmtId="49" fontId="33" fillId="0" borderId="23" applyFont="1" applyFill="0" applyBorder="1" applyNumberFormat="1">
      <alignment horizontal="left" vertical="top" wrapText="1"/>
    </xf>
    <xf numFmtId="0" fontId="33" fillId="0" borderId="21" applyFont="1" applyFill="0" applyBorder="1">
      <alignment horizontal="center" vertical="center" wrapText="1"/>
    </xf>
    <xf numFmtId="0" fontId="33" fillId="0" borderId="21" applyFont="1" applyFill="0" applyBorder="1">
      <alignment horizontal="center" vertical="center"/>
    </xf>
    <xf numFmtId="49" fontId="33" fillId="0" borderId="23" applyFont="1" applyFill="0" applyBorder="1" applyNumberFormat="1">
      <alignment horizontal="center" vertical="center" wrapText="1"/>
    </xf>
    <xf numFmtId="0" fontId="33" fillId="0" borderId="23" applyFont="1" applyFill="0" applyBorder="1">
      <alignment vertical="center" wrapText="1"/>
    </xf>
    <xf numFmtId="49" fontId="66" fillId="0" borderId="21" applyFont="1" applyFill="0" applyBorder="1" applyNumberFormat="1">
      <alignment horizontal="left" vertical="top" wrapText="1"/>
    </xf>
    <xf numFmtId="0" fontId="33" fillId="0" borderId="23" applyFont="1" applyFill="0" applyBorder="1">
      <alignment horizontal="center" vertical="center" wrapText="1"/>
    </xf>
    <xf numFmtId="0" fontId="33" fillId="0" borderId="32" applyFont="1" applyFill="0" applyBorder="1">
      <alignment vertical="center" wrapText="1"/>
    </xf>
    <xf numFmtId="0" fontId="33" fillId="0" borderId="30" applyFont="1" applyFill="0" applyBorder="1">
      <alignment vertical="center" wrapText="1"/>
    </xf>
    <xf numFmtId="49" fontId="66" fillId="0" borderId="35" applyFont="1" applyFill="0" applyBorder="1" applyNumberFormat="1">
      <alignment horizontal="left" vertical="top" wrapText="1"/>
    </xf>
    <xf numFmtId="49" fontId="66" fillId="0" borderId="20" applyFont="1" applyFill="0" applyBorder="1" applyNumberFormat="1">
      <alignment horizontal="left" vertical="top" wrapText="1"/>
    </xf>
    <xf numFmtId="49" fontId="33" fillId="0" borderId="32" applyFont="1" applyFill="0" applyBorder="1" applyNumberFormat="1">
      <alignment horizontal="center" vertical="center" wrapText="1"/>
    </xf>
    <xf numFmtId="49" fontId="33" fillId="0" borderId="30" applyFont="1" applyFill="0" applyBorder="1" applyNumberFormat="1">
      <alignment horizontal="center" vertical="center" wrapText="1"/>
    </xf>
    <xf numFmtId="0" fontId="33" fillId="0" borderId="32" applyFont="1" applyFill="0" applyBorder="1">
      <alignment horizontal="center" vertical="center" wrapText="1"/>
    </xf>
    <xf numFmtId="49" fontId="66" fillId="0" borderId="42" applyFont="1" applyFill="0" applyBorder="1" applyNumberFormat="1">
      <alignment horizontal="left" vertical="top" wrapText="1"/>
    </xf>
    <xf numFmtId="0" fontId="66" fillId="0" borderId="42" applyFont="1" applyFill="0" applyBorder="1">
      <alignment horizontal="left" vertical="top" wrapText="1"/>
    </xf>
    <xf numFmtId="49" fontId="28" fillId="44" borderId="0" applyFont="1" applyFill="1" applyBorder="0" applyNumberFormat="1">
      <alignment horizontal="center" vertical="center"/>
    </xf>
    <xf numFmtId="49" fontId="27" fillId="0" borderId="23" applyFont="1" applyFill="0" applyBorder="1" applyNumberFormat="1">
      <alignment horizontal="center" vertical="top"/>
    </xf>
    <xf numFmtId="49" fontId="37" fillId="44" borderId="0" applyFont="1" applyFill="1" applyBorder="0" applyNumberFormat="1">
      <alignment horizontal="center" vertical="center" wrapText="1"/>
    </xf>
    <xf numFmtId="0" fontId="23" fillId="45" borderId="23" applyFont="1" applyFill="1" applyBorder="1">
      <alignment horizontal="center" vertical="center"/>
    </xf>
    <xf numFmtId="49" fontId="37" fillId="44" borderId="23" applyFont="1" applyFill="1" applyBorder="1" applyNumberFormat="1">
      <alignment horizontal="center" vertical="center"/>
    </xf>
    <xf numFmtId="49" fontId="37" fillId="46" borderId="23" applyFont="1" applyFill="1" applyBorder="1" applyNumberFormat="1">
      <alignment horizontal="center" vertical="center"/>
    </xf>
    <xf numFmtId="49" fontId="23" fillId="47" borderId="23" applyFont="1" applyFill="1" applyBorder="1" applyNumberFormat="1">
      <alignment horizontal="center" vertical="center"/>
    </xf>
    <xf numFmtId="0" fontId="27" fillId="0" borderId="23" applyFont="1" applyFill="0" applyBorder="1">
      <alignment vertical="center"/>
    </xf>
    <xf numFmtId="0" fontId="23" fillId="0" borderId="23" applyFont="1" applyFill="0" applyBorder="1">
      <alignment vertical="center"/>
    </xf>
    <xf numFmtId="0" fontId="23" fillId="0" borderId="21" applyFont="1" applyFill="0" applyBorder="1">
      <alignment vertical="center"/>
    </xf>
    <xf numFmtId="0" fontId="27" fillId="0" borderId="21" applyFont="1" applyFill="0" applyBorder="1">
      <alignment horizontal="left" vertical="center"/>
    </xf>
    <xf numFmtId="49" fontId="27" fillId="0" borderId="46" applyFont="1" applyFill="0" applyBorder="1" applyNumberFormat="1">
      <alignment vertical="center"/>
    </xf>
    <xf numFmtId="49" fontId="27" fillId="0" borderId="47" applyFont="1" applyFill="0" applyBorder="1" applyNumberFormat="1">
      <alignment vertical="top"/>
    </xf>
    <xf numFmtId="49" fontId="27" fillId="0" borderId="48" applyFont="1" applyFill="0" applyBorder="1" applyNumberFormat="1">
      <alignment vertical="top"/>
    </xf>
    <xf numFmtId="0" fontId="23" fillId="0" borderId="20" applyFont="1" applyFill="0" applyBorder="1">
      <alignment vertical="center"/>
    </xf>
    <xf numFmtId="0" fontId="23" fillId="0" borderId="23" applyFont="1" applyFill="0" applyBorder="1">
      <alignment horizontal="right" vertical="top"/>
    </xf>
    <xf numFmtId="0" fontId="23" fillId="0" borderId="23" applyFont="1" applyFill="0" applyBorder="1">
      <alignment vertical="top"/>
    </xf>
    <xf numFmtId="0" fontId="27" fillId="0" borderId="20" applyFont="1" applyFill="0" applyBorder="1">
      <alignment vertical="center"/>
    </xf>
    <xf numFmtId="49" fontId="27" fillId="0" borderId="23" applyFont="1" applyFill="0" applyBorder="1" applyNumberFormat="1">
      <alignment vertical="center"/>
    </xf>
    <xf numFmtId="0" fontId="23" fillId="0" borderId="0" applyFont="1" applyFill="0" applyBorder="0">
      <alignment vertical="top"/>
    </xf>
    <xf numFmtId="0" fontId="27" fillId="0" borderId="23" applyFont="1" applyFill="0" applyBorder="1">
      <alignment vertical="top"/>
    </xf>
    <xf numFmtId="0" fontId="23" fillId="48" borderId="0" applyFont="1" applyFill="1" applyBorder="0">
      <alignment horizontal="right" vertical="center"/>
    </xf>
    <xf numFmtId="0" fontId="23" fillId="48" borderId="0" applyFont="1" applyFill="1" applyBorder="0">
      <alignment horizontal="left" vertical="center"/>
    </xf>
    <xf numFmtId="0" fontId="23" fillId="0" borderId="0" applyFont="1" applyFill="0" applyBorder="0">
      <alignment horizontal="right" vertical="top"/>
    </xf>
    <xf numFmtId="49" fontId="27" fillId="0" borderId="21" applyFont="1" applyFill="0" applyBorder="1" applyNumberFormat="1">
      <alignment vertical="top"/>
    </xf>
    <xf numFmtId="0" fontId="67" fillId="48" borderId="0" applyFont="1" applyFill="1" applyBorder="0">
      <alignment horizontal="left" vertical="center"/>
    </xf>
    <xf numFmtId="49" fontId="23" fillId="0" borderId="21" applyFont="1" applyFill="0" applyBorder="1" applyNumberFormat="1">
      <alignment vertical="top"/>
    </xf>
    <xf numFmtId="49" fontId="27" fillId="0" borderId="23" applyFont="1" applyFill="0" applyBorder="1" applyNumberFormat="1">
      <alignment horizontal="right" vertical="top"/>
    </xf>
    <xf numFmtId="0" fontId="23" fillId="0" borderId="21" applyFont="1" applyFill="0" applyBorder="1">
      <alignment horizontal="left" vertical="center"/>
    </xf>
    <xf numFmtId="49" fontId="27" fillId="0" borderId="32" applyFont="1" applyFill="0" applyBorder="1" applyNumberFormat="1">
      <alignment horizontal="right" vertical="top"/>
    </xf>
    <xf numFmtId="0" fontId="23" fillId="0" borderId="32" applyFont="1" applyFill="0" applyBorder="1">
      <alignment vertical="top"/>
    </xf>
    <xf numFmtId="0" fontId="27" fillId="0" borderId="32" applyFont="1" applyFill="0" applyBorder="1">
      <alignment vertical="center"/>
    </xf>
    <xf numFmtId="49" fontId="27" fillId="0" borderId="49" applyFont="1" applyFill="0" applyBorder="1" applyNumberFormat="1">
      <alignment horizontal="center" vertical="center"/>
    </xf>
    <xf numFmtId="49" fontId="27" fillId="0" borderId="23" applyFont="1" applyFill="0" applyBorder="1" applyNumberFormat="1">
      <alignment horizontal="right" vertical="center"/>
    </xf>
    <xf numFmtId="49" fontId="27" fillId="0" borderId="23" applyFont="1" applyFill="0" applyBorder="1" applyNumberFormat="1">
      <alignment vertical="top"/>
    </xf>
    <xf numFmtId="0" fontId="27" fillId="48" borderId="0" applyFont="1" applyFill="1" applyBorder="0">
      <alignment horizontal="left" vertical="center"/>
    </xf>
    <xf numFmtId="0" fontId="23" fillId="48" borderId="50" applyFont="1" applyFill="1" applyBorder="1">
      <alignment horizontal="center"/>
    </xf>
    <xf numFmtId="49" fontId="68" fillId="0" borderId="48" applyFont="1" applyFill="0" applyBorder="1" applyNumberFormat="1">
      <alignment vertical="top"/>
    </xf>
    <xf numFmtId="49" fontId="49" fillId="49" borderId="0" applyFont="1" applyFill="1" applyBorder="0" applyNumberFormat="1">
      <alignment vertical="center" wrapText="1"/>
    </xf>
    <xf numFmtId="0" fontId="23" fillId="0" borderId="50" applyFont="1" applyFill="0" applyBorder="1">
      <alignment horizontal="center"/>
    </xf>
    <xf numFmtId="49" fontId="28" fillId="44" borderId="0" applyFont="1" applyFill="1" applyBorder="0" applyNumberFormat="1">
      <alignment horizontal="center" vertical="center" wrapText="1"/>
    </xf>
    <xf numFmtId="49" fontId="27" fillId="48" borderId="0" applyFont="1" applyFill="1" applyBorder="0" applyNumberFormat="1">
      <alignment horizontal="center" vertical="center"/>
    </xf>
    <xf numFmtId="0" fontId="47" fillId="0" borderId="0" applyFont="1" applyFill="0" applyBorder="0">
      <alignment horizontal="center" vertical="center" wrapText="1"/>
    </xf>
    <xf numFmtId="49" fontId="23" fillId="35" borderId="49" applyFont="1" applyFill="1" applyBorder="1" applyNumberFormat="1">
      <alignment horizontal="left" vertical="center"/>
      <protection locked="0"/>
    </xf>
    <xf numFmtId="49" fontId="23" fillId="0" borderId="49" applyFont="1" applyFill="0" applyBorder="1" applyNumberFormat="1">
      <alignment horizontal="right" vertical="center"/>
    </xf>
    <xf numFmtId="0" fontId="23" fillId="37" borderId="49" applyFont="1" applyFill="1" applyBorder="1">
      <alignment horizontal="center" vertical="center"/>
    </xf>
    <xf numFmtId="49" fontId="23" fillId="0" borderId="49" applyFont="1" applyFill="0" applyBorder="1" applyNumberFormat="1">
      <alignment horizontal="center" vertical="center"/>
    </xf>
    <xf numFmtId="0" fontId="20" fillId="0" borderId="51" applyFont="1" applyFill="0" applyBorder="1">
      <alignment horizontal="center" vertical="center"/>
    </xf>
    <xf numFmtId="0" fontId="23" fillId="0" borderId="51" applyFont="1" applyFill="0" applyBorder="1">
      <alignment horizontal="center" vertical="center"/>
    </xf>
    <xf numFmtId="49" fontId="28" fillId="44" borderId="23" applyFont="1" applyFill="1" applyBorder="1" applyNumberFormat="1">
      <alignment horizontal="right" vertical="center"/>
    </xf>
    <xf numFmtId="49" fontId="27" fillId="35" borderId="33" applyFont="1" applyFill="1" applyBorder="1" applyNumberFormat="1">
      <alignment vertical="top"/>
      <protection locked="0"/>
    </xf>
    <xf numFmtId="0" fontId="23" fillId="43" borderId="23" applyFont="1" applyFill="1" applyBorder="1">
      <alignment horizontal="right" vertical="center"/>
    </xf>
    <xf numFmtId="49" fontId="27" fillId="43" borderId="30" applyFont="1" applyFill="1" applyBorder="1" applyNumberFormat="1">
      <alignment vertical="top"/>
    </xf>
    <xf numFmtId="49" fontId="27" fillId="43" borderId="23" applyFont="1" applyFill="1" applyBorder="1" applyNumberFormat="1">
      <alignment vertical="top"/>
    </xf>
    <xf numFmtId="0" fontId="27" fillId="0" borderId="0" applyFont="1" applyFill="0" applyBorder="0">
      <alignment vertical="top"/>
    </xf>
    <xf numFmtId="49" fontId="27" fillId="0" borderId="21" applyFont="1" applyFill="0" applyBorder="1" applyNumberFormat="1">
      <alignment horizontal="center" vertical="top"/>
    </xf>
    <xf numFmtId="49" fontId="27" fillId="0" borderId="20" applyFont="1" applyFill="0" applyBorder="1" applyNumberFormat="1">
      <alignment horizontal="center" vertical="top"/>
    </xf>
    <xf numFmtId="0" fontId="27" fillId="37" borderId="35" applyFont="1" applyFill="1" applyBorder="1">
      <alignment horizontal="center" vertical="top"/>
    </xf>
    <xf numFmtId="0" fontId="27" fillId="37" borderId="35" applyFont="1" applyFill="1" applyBorder="1">
      <alignment horizontal="left" vertical="top"/>
    </xf>
    <xf numFmtId="0" fontId="23" fillId="0" borderId="52" applyFont="1" applyFill="0" applyBorder="1">
      <alignment horizontal="center" vertical="center"/>
    </xf>
    <xf numFmtId="0" fontId="23" fillId="0" borderId="53" applyFont="1" applyFill="0" applyBorder="1">
      <alignment horizontal="center" vertical="center"/>
    </xf>
    <xf numFmtId="0" fontId="27" fillId="0" borderId="23" applyFont="1" applyFill="0" applyBorder="1">
      <alignment horizontal="left" vertical="top"/>
    </xf>
    <xf numFmtId="0" fontId="23" fillId="0" borderId="54" applyFont="1" applyFill="0" applyBorder="1">
      <alignment horizontal="center" vertical="center"/>
    </xf>
    <xf numFmtId="49" fontId="28" fillId="44" borderId="21" applyFont="1" applyFill="1" applyBorder="1" applyNumberFormat="1">
      <alignment horizontal="right" vertical="center"/>
    </xf>
    <xf numFmtId="49" fontId="23" fillId="0" borderId="0" applyFont="1" applyFill="0" applyBorder="0" applyNumberFormat="1">
      <alignment vertical="center"/>
    </xf>
    <xf numFmtId="0" fontId="23" fillId="48" borderId="0" applyFont="1" applyFill="1" applyBorder="0">
      <alignment horizontal="right" vertical="top" wrapText="1"/>
    </xf>
    <xf numFmtId="0" fontId="27" fillId="0" borderId="0" applyFont="1" applyFill="0" applyBorder="0">
      <alignment horizontal="left" vertical="top" wrapText="1"/>
    </xf>
    <xf numFmtId="49" fontId="23" fillId="50" borderId="0" applyFont="1" applyFill="1" applyBorder="0" applyNumberFormat="1">
      <alignment vertical="top"/>
    </xf>
    <xf numFmtId="0" fontId="27" fillId="39" borderId="23" applyFont="1" applyFill="1" applyBorder="1">
      <alignment horizontal="center" vertical="center"/>
    </xf>
    <xf numFmtId="0" fontId="50" fillId="39" borderId="0" applyFont="1" applyFill="1" applyBorder="0">
      <alignment horizontal="center"/>
    </xf>
    <xf numFmtId="0" fontId="47" fillId="0" borderId="0" applyFont="1" applyFill="0" applyBorder="0">
      <alignment vertical="top" wrapText="1"/>
    </xf>
    <xf numFmtId="0" fontId="37" fillId="0" borderId="30" applyFont="1" applyFill="0" applyBorder="1">
      <alignment horizontal="center" vertical="center" wrapText="1"/>
    </xf>
    <xf numFmtId="0" fontId="37" fillId="0" borderId="23" applyFont="1" applyFill="0" applyBorder="1">
      <alignment horizontal="center" vertical="center" wrapText="1"/>
    </xf>
    <xf numFmtId="14" fontId="27" fillId="40" borderId="23" applyFont="1" applyFill="1" applyBorder="1" applyNumberFormat="1">
      <alignment horizontal="left" vertical="center" wrapText="1" indent="1"/>
    </xf>
    <xf numFmtId="49" fontId="27" fillId="37" borderId="23" applyFont="1" applyFill="1" applyBorder="1" applyNumberFormat="1">
      <alignment horizontal="center" vertical="center" wrapText="1"/>
    </xf>
    <xf numFmtId="49" fontId="59" fillId="50" borderId="0" applyFont="1" applyFill="1" applyBorder="0" applyNumberFormat="1">
      <alignment vertical="top"/>
    </xf>
    <xf numFmtId="0" fontId="47" fillId="0" borderId="29" applyFont="1" applyFill="0" applyBorder="1">
      <alignment horizontal="center" vertical="center" wrapText="1"/>
    </xf>
    <xf numFmtId="14" fontId="54" fillId="0" borderId="32" applyFont="1" applyFill="0" applyBorder="1" applyNumberFormat="1">
      <alignment horizontal="center" vertical="center" wrapText="1"/>
    </xf>
    <xf numFmtId="0" fontId="53" fillId="0" borderId="23" applyFont="1" applyFill="0" applyBorder="1">
      <alignment horizontal="left" vertical="center" wrapText="1" indent="1"/>
    </xf>
    <xf numFmtId="0" fontId="54" fillId="0" borderId="32" applyFont="1" applyFill="0" applyBorder="1">
      <alignment horizontal="center" vertical="center" wrapText="1"/>
    </xf>
    <xf numFmtId="49" fontId="53" fillId="0" borderId="23" applyFont="1" applyFill="0" applyBorder="1" applyNumberFormat="1">
      <alignment horizontal="left" vertical="center" wrapText="1" indent="1"/>
    </xf>
    <xf numFmtId="14" fontId="54" fillId="0" borderId="42" applyFont="1" applyFill="0" applyBorder="1" applyNumberFormat="1">
      <alignment horizontal="center" vertical="center" wrapText="1"/>
    </xf>
    <xf numFmtId="0" fontId="53" fillId="0" borderId="23" applyFont="1" applyFill="0" applyBorder="1">
      <alignment horizontal="left" vertical="top" indent="1"/>
    </xf>
    <xf numFmtId="0" fontId="27" fillId="39" borderId="0" applyFont="1" applyFill="1" applyBorder="0">
      <alignment horizontal="center" vertical="top" wrapText="1"/>
    </xf>
    <xf numFmtId="0" fontId="27" fillId="39" borderId="21" applyFont="1" applyFill="1" applyBorder="1">
      <alignment horizontal="center" vertical="center" wrapText="1"/>
    </xf>
    <xf numFmtId="0" fontId="44" fillId="39" borderId="23" applyFont="1" applyFill="1" applyBorder="1">
      <alignment horizontal="center" vertical="center" wrapText="1"/>
    </xf>
    <xf numFmtId="14" fontId="27" fillId="40" borderId="34" applyFont="1" applyFill="1" applyBorder="1" applyNumberFormat="1">
      <alignment horizontal="left" vertical="center" wrapText="1"/>
    </xf>
    <xf numFmtId="49" fontId="69" fillId="38" borderId="23" applyFont="1" applyFill="1" applyBorder="1" applyNumberFormat="1">
      <alignment horizontal="left" vertical="center" wrapText="1"/>
      <protection locked="0"/>
    </xf>
    <xf numFmtId="49" fontId="37" fillId="0" borderId="0" applyFont="1" applyFill="0" applyBorder="0" applyNumberFormat="1">
      <alignment vertical="top"/>
    </xf>
    <xf numFmtId="438" fontId="23" fillId="38" borderId="23" applyFont="1" applyFill="1" applyBorder="1" applyNumberFormat="1">
      <alignment horizontal="center" vertical="center" wrapText="1"/>
      <protection locked="0"/>
    </xf>
    <xf numFmtId="49" fontId="23" fillId="38" borderId="23" applyFont="1" applyFill="1" applyBorder="1" applyNumberFormat="1">
      <alignment horizontal="center" vertical="center" wrapText="1"/>
      <protection locked="0"/>
    </xf>
    <xf numFmtId="0" fontId="70" fillId="39" borderId="0" applyFont="1" applyFill="1" applyBorder="0">
      <alignment vertical="center" wrapText="1"/>
    </xf>
    <xf numFmtId="0" fontId="23" fillId="38" borderId="21" applyFont="1" applyFill="1" applyBorder="1">
      <alignment horizontal="left" vertical="center" wrapText="1" indent="2"/>
      <protection locked="0"/>
    </xf>
    <xf numFmtId="0" fontId="50" fillId="0" borderId="29" applyFont="1" applyFill="0" applyBorder="1">
      <alignment horizontal="center" vertical="center" wrapText="1"/>
    </xf>
    <xf numFmtId="49" fontId="27" fillId="0" borderId="23" applyFont="1" applyFill="0" applyBorder="1" applyNumberFormat="1">
      <alignment horizontal="center" vertical="top" wrapText="1"/>
    </xf>
    <xf numFmtId="0" fontId="23" fillId="37" borderId="23" applyFont="1" applyFill="1" applyBorder="1">
      <alignment horizontal="left" vertical="top" wrapText="1" indent="1"/>
    </xf>
    <xf numFmtId="49" fontId="27" fillId="40" borderId="32" applyFont="1" applyFill="1" applyBorder="1" applyNumberFormat="1">
      <alignment horizontal="center" vertical="top" wrapText="1"/>
    </xf>
    <xf numFmtId="438" fontId="23" fillId="38" borderId="23" applyFont="1" applyFill="1" applyBorder="1" applyNumberFormat="1">
      <alignment horizontal="center" vertical="top" wrapText="1"/>
      <protection locked="0"/>
    </xf>
    <xf numFmtId="438" fontId="23" fillId="35" borderId="23" applyFont="1" applyFill="1" applyBorder="1" applyNumberFormat="1">
      <alignment horizontal="center" vertical="top" wrapText="1"/>
      <protection locked="0"/>
    </xf>
    <xf numFmtId="49" fontId="27" fillId="40" borderId="23" applyFont="1" applyFill="1" applyBorder="1" applyNumberFormat="1">
      <alignment horizontal="left" vertical="top" wrapText="1"/>
    </xf>
    <xf numFmtId="49" fontId="27" fillId="38" borderId="23" applyFont="1" applyFill="1" applyBorder="1" applyNumberFormat="1">
      <alignment horizontal="left" vertical="top" wrapText="1"/>
      <protection locked="0"/>
    </xf>
    <xf numFmtId="49" fontId="23" fillId="37" borderId="23" applyFont="1" applyFill="1" applyBorder="1" applyNumberFormat="1">
      <alignment horizontal="center" vertical="top" wrapText="1"/>
    </xf>
    <xf numFmtId="0" fontId="27" fillId="37" borderId="23" applyFont="1" applyFill="1" applyBorder="1">
      <alignment horizontal="center" vertical="top" wrapText="1"/>
    </xf>
    <xf numFmtId="0" fontId="27" fillId="35" borderId="23" applyFont="1" applyFill="1" applyBorder="1">
      <alignment horizontal="left" vertical="top" wrapText="1"/>
      <protection locked="0"/>
    </xf>
    <xf numFmtId="49" fontId="27" fillId="40" borderId="23" applyFont="1" applyFill="1" applyBorder="1" applyNumberFormat="1">
      <alignment horizontal="center" vertical="top" wrapText="1"/>
    </xf>
    <xf numFmtId="49" fontId="27" fillId="38" borderId="32" applyFont="1" applyFill="1" applyBorder="1" applyNumberFormat="1">
      <alignment horizontal="left" vertical="center" wrapText="1" indent="1"/>
      <protection locked="0"/>
    </xf>
    <xf numFmtId="0" fontId="27" fillId="0" borderId="29" applyFont="1" applyFill="0" applyBorder="1">
      <alignment vertical="top" wrapText="1"/>
    </xf>
    <xf numFmtId="49" fontId="27" fillId="40" borderId="30" applyFont="1" applyFill="1" applyBorder="1" applyNumberFormat="1">
      <alignment horizontal="center" vertical="top" wrapText="1"/>
    </xf>
    <xf numFmtId="49" fontId="23" fillId="38" borderId="23" applyFont="1" applyFill="1" applyBorder="1" applyNumberFormat="1">
      <alignment horizontal="center" vertical="top" wrapText="1"/>
      <protection locked="0"/>
    </xf>
    <xf numFmtId="49" fontId="23" fillId="35" borderId="23" applyFont="1" applyFill="1" applyBorder="1" applyNumberFormat="1">
      <alignment horizontal="center" vertical="top" wrapText="1"/>
      <protection locked="0"/>
    </xf>
    <xf numFmtId="49" fontId="27" fillId="40" borderId="21" applyFont="1" applyFill="1" applyBorder="1" applyNumberFormat="1">
      <alignment horizontal="center" vertical="top" wrapText="1"/>
    </xf>
    <xf numFmtId="0" fontId="27" fillId="41" borderId="21" applyFont="1" applyFill="1" applyBorder="1">
      <alignment vertical="center" wrapText="1"/>
    </xf>
    <xf numFmtId="0" fontId="27" fillId="41" borderId="25" applyFont="1" applyFill="1" applyBorder="1">
      <alignment vertical="center" wrapText="1"/>
    </xf>
    <xf numFmtId="49" fontId="27" fillId="0" borderId="42" applyFont="1" applyFill="0" applyBorder="1" applyNumberFormat="1">
      <alignment horizontal="center" vertical="top" wrapText="1"/>
    </xf>
    <xf numFmtId="0" fontId="23" fillId="37" borderId="42" applyFont="1" applyFill="1" applyBorder="1">
      <alignment horizontal="left" vertical="top" wrapText="1" indent="1"/>
    </xf>
    <xf numFmtId="49" fontId="27" fillId="40" borderId="42" applyFont="1" applyFill="1" applyBorder="1" applyNumberFormat="1">
      <alignment horizontal="center" vertical="top" wrapText="1"/>
    </xf>
    <xf numFmtId="49" fontId="23" fillId="38" borderId="42" applyFont="1" applyFill="1" applyBorder="1" applyNumberFormat="1">
      <alignment horizontal="center" vertical="top" wrapText="1"/>
      <protection locked="0"/>
    </xf>
    <xf numFmtId="49" fontId="23" fillId="35" borderId="42" applyFont="1" applyFill="1" applyBorder="1" applyNumberFormat="1">
      <alignment horizontal="center" vertical="top" wrapText="1"/>
      <protection locked="0"/>
    </xf>
    <xf numFmtId="49" fontId="27" fillId="40" borderId="42" applyFont="1" applyFill="1" applyBorder="1" applyNumberFormat="1">
      <alignment horizontal="left" vertical="top" wrapText="1"/>
    </xf>
    <xf numFmtId="49" fontId="27" fillId="38" borderId="42" applyFont="1" applyFill="1" applyBorder="1" applyNumberFormat="1">
      <alignment horizontal="left" vertical="top" wrapText="1"/>
      <protection locked="0"/>
    </xf>
    <xf numFmtId="49" fontId="23" fillId="37" borderId="42" applyFont="1" applyFill="1" applyBorder="1" applyNumberFormat="1">
      <alignment horizontal="center" vertical="top" wrapText="1"/>
    </xf>
    <xf numFmtId="0" fontId="27" fillId="37" borderId="42" applyFont="1" applyFill="1" applyBorder="1">
      <alignment horizontal="center" vertical="top" wrapText="1"/>
    </xf>
    <xf numFmtId="0" fontId="27" fillId="35" borderId="42" applyFont="1" applyFill="1" applyBorder="1">
      <alignment horizontal="left" vertical="top" wrapText="1"/>
      <protection locked="0"/>
    </xf>
    <xf numFmtId="0" fontId="71" fillId="0" borderId="55" applyFont="1" applyFill="0" applyBorder="1">
      <alignment horizontal="left" vertical="center" indent="1"/>
    </xf>
    <xf numFmtId="0" fontId="71" fillId="0" borderId="56" applyFont="1" applyFill="0" applyBorder="1">
      <alignment horizontal="left" vertical="center" indent="1"/>
    </xf>
    <xf numFmtId="0" fontId="23" fillId="0" borderId="56" applyFont="1" applyFill="0" applyBorder="1">
      <alignment horizontal="left" vertical="center" wrapText="1"/>
    </xf>
    <xf numFmtId="0" fontId="27" fillId="0" borderId="56" applyFont="1" applyFill="0" applyBorder="1">
      <alignment vertical="center" wrapText="1"/>
    </xf>
    <xf numFmtId="0" fontId="27" fillId="0" borderId="57" applyFont="1" applyFill="0" applyBorder="1">
      <alignment vertical="center" wrapText="1"/>
    </xf>
    <xf numFmtId="0" fontId="27" fillId="0" borderId="58" applyFont="1" applyFill="0" applyBorder="1">
      <alignment vertical="center" wrapText="1"/>
    </xf>
    <xf numFmtId="0" fontId="27" fillId="0" borderId="28" applyFont="1" applyFill="0" applyBorder="1">
      <alignment vertical="center" wrapText="1"/>
    </xf>
    <xf numFmtId="49" fontId="37" fillId="0" borderId="20" applyFont="1" applyFill="0" applyBorder="1" applyNumberFormat="1">
      <alignment horizontal="center" vertical="center" wrapText="1"/>
    </xf>
    <xf numFmtId="49" fontId="37" fillId="0" borderId="20" applyFont="1" applyFill="0" applyBorder="1" applyNumberFormat="1">
      <alignment horizontal="left" vertical="center" wrapText="1"/>
    </xf>
    <xf numFmtId="49" fontId="37" fillId="0" borderId="21" applyFont="1" applyFill="0" applyBorder="1" applyNumberFormat="1">
      <alignment horizontal="center" vertical="center" wrapText="1"/>
    </xf>
    <xf numFmtId="49" fontId="37" fillId="0" borderId="23" applyFont="1" applyFill="0" applyBorder="1" applyNumberFormat="1">
      <alignment horizontal="center" vertical="center" wrapText="1"/>
    </xf>
    <xf numFmtId="49" fontId="72" fillId="0" borderId="44" applyFont="1" applyFill="0" applyBorder="1" applyNumberFormat="1">
      <alignment horizontal="left" vertical="center" indent="1"/>
    </xf>
    <xf numFmtId="49" fontId="72" fillId="0" borderId="44" applyFont="1" applyFill="0" applyBorder="1" applyNumberFormat="1">
      <alignment horizontal="center" vertical="center"/>
    </xf>
    <xf numFmtId="3" fontId="37" fillId="0" borderId="23" applyFont="1" applyFill="0" applyBorder="1" applyNumberFormat="1">
      <alignment horizontal="center" vertical="center" wrapText="1"/>
    </xf>
    <xf numFmtId="49" fontId="73" fillId="0" borderId="20" applyFont="1" applyFill="0" applyBorder="1" applyNumberFormat="1">
      <alignment horizontal="center" vertical="center" wrapText="1"/>
    </xf>
    <xf numFmtId="0" fontId="72" fillId="0" borderId="23" applyFont="1" applyFill="0" applyBorder="1">
      <alignment horizontal="center" vertical="center"/>
    </xf>
    <xf numFmtId="49" fontId="37" fillId="0" borderId="32" applyFont="1" applyFill="0" applyBorder="1" applyNumberFormat="1">
      <alignment horizontal="left" vertical="center" wrapText="1" indent="1"/>
    </xf>
    <xf numFmtId="49" fontId="72" fillId="0" borderId="21" applyFont="1" applyFill="0" applyBorder="1" applyNumberFormat="1">
      <alignment horizontal="left" vertical="center" indent="1"/>
    </xf>
    <xf numFmtId="49" fontId="72" fillId="0" borderId="25" applyFont="1" applyFill="0" applyBorder="1" applyNumberFormat="1">
      <alignment horizontal="left" vertical="center" indent="1"/>
    </xf>
    <xf numFmtId="49" fontId="72" fillId="0" borderId="25" applyFont="1" applyFill="0" applyBorder="1" applyNumberFormat="1">
      <alignment vertical="top" wrapText="1"/>
    </xf>
    <xf numFmtId="49" fontId="72" fillId="0" borderId="20" applyFont="1" applyFill="0" applyBorder="1" applyNumberFormat="1">
      <alignment vertical="top" wrapText="1"/>
    </xf>
    <xf numFmtId="49" fontId="37" fillId="0" borderId="42" applyFont="1" applyFill="0" applyBorder="1" applyNumberFormat="1">
      <alignment horizontal="left" vertical="center" wrapText="1" indent="1"/>
    </xf>
    <xf numFmtId="0" fontId="72" fillId="0" borderId="23" applyFont="1" applyFill="0" applyBorder="1">
      <alignment horizontal="left" vertical="center" wrapText="1" indent="1"/>
    </xf>
    <xf numFmtId="4" fontId="37" fillId="0" borderId="49" applyFont="1" applyFill="0" applyBorder="1" applyNumberFormat="1">
      <alignment horizontal="right" vertical="center" wrapText="1"/>
    </xf>
    <xf numFmtId="49" fontId="37" fillId="0" borderId="30" applyFont="1" applyFill="0" applyBorder="1" applyNumberFormat="1">
      <alignment horizontal="left" vertical="center" wrapText="1" indent="1"/>
    </xf>
    <xf numFmtId="49" fontId="37" fillId="0" borderId="25" applyFont="1" applyFill="0" applyBorder="1" applyNumberFormat="1">
      <alignment horizontal="left" vertical="center" indent="1"/>
    </xf>
    <xf numFmtId="49" fontId="72" fillId="0" borderId="59" applyFont="1" applyFill="0" applyBorder="1" applyNumberFormat="1">
      <alignment vertical="top" wrapText="1"/>
    </xf>
    <xf numFmtId="49" fontId="72" fillId="0" borderId="59" applyFont="1" applyFill="0" applyBorder="1" applyNumberFormat="1">
      <alignment horizontal="left" vertical="center" indent="1"/>
    </xf>
    <xf numFmtId="49" fontId="27" fillId="37" borderId="60" applyFont="1" applyFill="1" applyBorder="1" applyNumberFormat="1">
      <alignment horizontal="center" vertical="center" wrapText="1"/>
    </xf>
    <xf numFmtId="0" fontId="23" fillId="41" borderId="61" applyFont="1" applyFill="1" applyBorder="1">
      <alignment horizontal="left" vertical="center"/>
    </xf>
    <xf numFmtId="49" fontId="48" fillId="41" borderId="62" applyFont="1" applyFill="1" applyBorder="1" applyNumberFormat="1">
      <alignment horizontal="left" vertical="center" indent="1"/>
    </xf>
    <xf numFmtId="0" fontId="27" fillId="41" borderId="61" applyFont="1" applyFill="1" applyBorder="1">
      <alignment vertical="center" wrapText="1"/>
    </xf>
    <xf numFmtId="0" fontId="27" fillId="41" borderId="62" applyFont="1" applyFill="1" applyBorder="1">
      <alignment vertical="center" wrapText="1"/>
    </xf>
    <xf numFmtId="49" fontId="23" fillId="37" borderId="42" applyFont="1" applyFill="1" applyBorder="1" applyNumberFormat="1">
      <alignment vertical="top"/>
    </xf>
    <xf numFmtId="49" fontId="23" fillId="0" borderId="42" applyFont="1" applyFill="0" applyBorder="1" applyNumberFormat="1">
      <alignment vertical="top"/>
    </xf>
    <xf numFmtId="49" fontId="27" fillId="40" borderId="32" applyFont="1" applyFill="1" applyBorder="1" applyNumberFormat="1">
      <alignment vertical="center" wrapText="1"/>
    </xf>
    <xf numFmtId="49" fontId="23" fillId="38" borderId="42" applyFont="1" applyFill="1" applyBorder="1" applyNumberFormat="1">
      <alignment vertical="top"/>
      <protection locked="0"/>
    </xf>
    <xf numFmtId="49" fontId="74" fillId="0" borderId="23" applyFont="1" applyFill="0" applyBorder="1" applyNumberFormat="1">
      <alignment horizontal="center" vertical="center" wrapText="1"/>
    </xf>
    <xf numFmtId="0" fontId="49" fillId="0" borderId="23" applyFont="1" applyFill="0" applyBorder="1">
      <alignment horizontal="center" vertical="center"/>
    </xf>
    <xf numFmtId="49" fontId="27" fillId="40" borderId="32" applyFont="1" applyFill="1" applyBorder="1" applyNumberFormat="1">
      <alignment horizontal="left" vertical="center" wrapText="1" indent="1"/>
    </xf>
    <xf numFmtId="49" fontId="75" fillId="41" borderId="21" applyFont="1" applyFill="1" applyBorder="1" applyNumberFormat="1">
      <alignment horizontal="left" vertical="center" indent="1"/>
    </xf>
    <xf numFmtId="49" fontId="75" fillId="41" borderId="25" applyFont="1" applyFill="1" applyBorder="1" applyNumberFormat="1">
      <alignment horizontal="left" vertical="center" indent="1"/>
    </xf>
    <xf numFmtId="49" fontId="49" fillId="41" borderId="25" applyFont="1" applyFill="1" applyBorder="1" applyNumberFormat="1">
      <alignment vertical="top" wrapText="1"/>
    </xf>
    <xf numFmtId="49" fontId="23" fillId="38" borderId="32" applyFont="1" applyFill="1" applyBorder="1" applyNumberFormat="1">
      <alignment vertical="top"/>
      <protection locked="0"/>
    </xf>
    <xf numFmtId="14" fontId="27" fillId="40" borderId="42" applyFont="1" applyFill="1" applyBorder="1" applyNumberFormat="1">
      <alignment horizontal="left" vertical="center" wrapText="1" indent="1"/>
    </xf>
    <xf numFmtId="14" fontId="27" fillId="40" borderId="28" applyFont="1" applyFill="1" applyBorder="1" applyNumberFormat="1">
      <alignment horizontal="left" vertical="center" wrapText="1" indent="1"/>
    </xf>
    <xf numFmtId="49" fontId="27" fillId="40" borderId="42" applyFont="1" applyFill="1" applyBorder="1" applyNumberFormat="1">
      <alignment vertical="center" wrapText="1"/>
    </xf>
    <xf numFmtId="49" fontId="27" fillId="40" borderId="42" applyFont="1" applyFill="1" applyBorder="1" applyNumberFormat="1">
      <alignment horizontal="left" vertical="center" wrapText="1" indent="1"/>
    </xf>
    <xf numFmtId="49" fontId="27" fillId="37" borderId="23" applyFont="1" applyFill="1" applyBorder="1" applyNumberFormat="1">
      <alignment horizontal="left" vertical="center" wrapText="1"/>
    </xf>
    <xf numFmtId="0" fontId="49" fillId="40" borderId="23" applyFont="1" applyFill="1" applyBorder="1">
      <alignment horizontal="left" vertical="center" wrapText="1" indent="1"/>
    </xf>
    <xf numFmtId="4" fontId="27" fillId="38" borderId="49" applyFont="1" applyFill="1" applyBorder="1" applyNumberFormat="1">
      <alignment horizontal="right" vertical="center" wrapText="1"/>
      <protection locked="0"/>
    </xf>
    <xf numFmtId="4" fontId="27" fillId="38" borderId="54" applyFont="1" applyFill="1" applyBorder="1" applyNumberFormat="1">
      <alignment horizontal="right" vertical="center" wrapText="1"/>
      <protection locked="0"/>
    </xf>
    <xf numFmtId="49" fontId="27" fillId="40" borderId="30" applyFont="1" applyFill="1" applyBorder="1" applyNumberFormat="1">
      <alignment vertical="center" wrapText="1"/>
    </xf>
    <xf numFmtId="49" fontId="27" fillId="40" borderId="30" applyFont="1" applyFill="1" applyBorder="1" applyNumberFormat="1">
      <alignment horizontal="left" vertical="center" wrapText="1" indent="1"/>
    </xf>
    <xf numFmtId="49" fontId="23" fillId="38" borderId="30" applyFont="1" applyFill="1" applyBorder="1" applyNumberFormat="1">
      <alignment vertical="top"/>
      <protection locked="0"/>
    </xf>
    <xf numFmtId="49" fontId="74" fillId="0" borderId="42" applyFont="1" applyFill="0" applyBorder="1" applyNumberFormat="1">
      <alignment horizontal="center" vertical="top" wrapText="1"/>
    </xf>
    <xf numFmtId="0" fontId="49" fillId="0" borderId="20" applyFont="1" applyFill="0" applyBorder="1">
      <alignment horizontal="center" vertical="center"/>
    </xf>
    <xf numFmtId="49" fontId="27" fillId="40" borderId="20" applyFont="1" applyFill="1" applyBorder="1" applyNumberFormat="1">
      <alignment horizontal="left" vertical="center" wrapText="1"/>
    </xf>
    <xf numFmtId="49" fontId="75" fillId="41" borderId="43" applyFont="1" applyFill="1" applyBorder="1" applyNumberFormat="1">
      <alignment horizontal="left" vertical="center" indent="1"/>
    </xf>
    <xf numFmtId="49" fontId="72" fillId="41" borderId="44" applyFont="1" applyFill="1" applyBorder="1" applyNumberFormat="1">
      <alignment horizontal="center" vertical="center"/>
    </xf>
    <xf numFmtId="49" fontId="75" fillId="41" borderId="44" applyFont="1" applyFill="1" applyBorder="1" applyNumberFormat="1">
      <alignment horizontal="left" vertical="center" indent="1"/>
    </xf>
    <xf numFmtId="3" fontId="27" fillId="38" borderId="23" applyFont="1" applyFill="1" applyBorder="1" applyNumberFormat="1">
      <alignment horizontal="center" vertical="center" wrapText="1"/>
      <protection locked="0"/>
    </xf>
    <xf numFmtId="49" fontId="27" fillId="40" borderId="21" applyFont="1" applyFill="1" applyBorder="1" applyNumberFormat="1">
      <alignment horizontal="center" vertical="center" wrapText="1"/>
    </xf>
    <xf numFmtId="49" fontId="49" fillId="41" borderId="20" applyFont="1" applyFill="1" applyBorder="1" applyNumberFormat="1">
      <alignment vertical="top" wrapText="1"/>
    </xf>
    <xf numFmtId="49" fontId="49" fillId="41" borderId="59" applyFont="1" applyFill="1" applyBorder="1" applyNumberFormat="1">
      <alignment vertical="top" wrapText="1"/>
    </xf>
    <xf numFmtId="49" fontId="75" fillId="41" borderId="59" applyFont="1" applyFill="1" applyBorder="1" applyNumberFormat="1">
      <alignment horizontal="left" vertical="center" indent="1"/>
    </xf>
    <xf numFmtId="49" fontId="49" fillId="39" borderId="0" applyFont="1" applyFill="1" applyBorder="0" applyNumberFormat="1">
      <alignment vertical="center"/>
    </xf>
    <xf numFmtId="0" fontId="71" fillId="0" borderId="63" applyFont="1" applyFill="0" applyBorder="1">
      <alignment horizontal="left" vertical="center" indent="1"/>
    </xf>
    <xf numFmtId="49" fontId="27" fillId="0" borderId="64" applyFont="1" applyFill="0" applyBorder="1" applyNumberFormat="1">
      <alignment horizontal="center" vertical="center"/>
    </xf>
    <xf numFmtId="0" fontId="27" fillId="0" borderId="64" applyFont="1" applyFill="0" applyBorder="1">
      <alignment horizontal="right" vertical="center"/>
    </xf>
    <xf numFmtId="0" fontId="27" fillId="0" borderId="64" applyFont="1" applyFill="0" applyBorder="1">
      <alignment horizontal="center" vertical="center"/>
    </xf>
    <xf numFmtId="0" fontId="27" fillId="0" borderId="25" applyFont="1" applyFill="0" applyBorder="1">
      <alignment horizontal="right" vertical="center"/>
    </xf>
    <xf numFmtId="0" fontId="27" fillId="0" borderId="20" applyFont="1" applyFill="0" applyBorder="1">
      <alignment horizontal="right" vertical="center"/>
    </xf>
    <xf numFmtId="0" fontId="27" fillId="0" borderId="23" applyFont="1" applyFill="0" applyBorder="1">
      <alignment horizontal="right" vertical="center"/>
    </xf>
    <xf numFmtId="49" fontId="27" fillId="35" borderId="23" applyFont="1" applyFill="1" applyBorder="1" applyNumberFormat="1">
      <alignment horizontal="left" vertical="center" indent="1"/>
      <protection locked="0"/>
    </xf>
    <xf numFmtId="0" fontId="27" fillId="43" borderId="23" applyFont="1" applyFill="1" applyBorder="1">
      <alignment horizontal="right" vertical="center"/>
    </xf>
    <xf numFmtId="4" fontId="27" fillId="35" borderId="23" applyFont="1" applyFill="1" applyBorder="1" applyNumberFormat="1">
      <alignment horizontal="right" vertical="center"/>
      <protection locked="0"/>
    </xf>
    <xf numFmtId="49" fontId="48" fillId="41" borderId="65" applyFont="1" applyFill="1" applyBorder="1" applyNumberFormat="1">
      <alignment horizontal="left" vertical="center" indent="1"/>
    </xf>
    <xf numFmtId="49" fontId="48" fillId="51" borderId="20" applyFont="1" applyFill="1" applyBorder="1" applyNumberFormat="1">
      <alignment horizontal="left" vertical="center" indent="1"/>
    </xf>
    <xf numFmtId="0" fontId="23" fillId="0" borderId="21" applyFont="1" applyFill="0" applyBorder="1">
      <alignment horizontal="right" vertical="center" wrapText="1" indent="1"/>
    </xf>
    <xf numFmtId="0" fontId="23" fillId="0" borderId="25" applyFont="1" applyFill="0" applyBorder="1">
      <alignment horizontal="right" vertical="center" wrapText="1" indent="1"/>
    </xf>
    <xf numFmtId="0" fontId="23" fillId="0" borderId="20" applyFont="1" applyFill="0" applyBorder="1">
      <alignment horizontal="right" vertical="center" wrapText="1" indent="1"/>
    </xf>
    <xf numFmtId="0" fontId="27" fillId="0" borderId="20" applyFont="1" applyFill="0" applyBorder="1">
      <alignment horizontal="left" vertical="center" wrapText="1" indent="1"/>
    </xf>
    <xf numFmtId="49" fontId="44" fillId="0" borderId="28" applyFont="1" applyFill="0" applyBorder="1" applyNumberFormat="1">
      <alignment vertical="top"/>
    </xf>
    <xf numFmtId="0" fontId="76" fillId="0" borderId="0" applyFont="1" applyFill="0" applyBorder="0">
      <alignment vertical="top"/>
    </xf>
    <xf numFmtId="0" fontId="77" fillId="0" borderId="0" applyFont="1" applyFill="0" applyBorder="0">
      <alignment vertical="top"/>
    </xf>
    <xf numFmtId="49" fontId="27" fillId="0" borderId="42" applyFont="1" applyFill="0" applyBorder="1" applyNumberFormat="1">
      <alignment horizontal="center" vertical="center" wrapText="1"/>
    </xf>
    <xf numFmtId="0" fontId="27" fillId="0" borderId="30" applyFont="1" applyFill="0" applyBorder="1">
      <alignment horizontal="left" vertical="center" wrapText="1"/>
    </xf>
    <xf numFmtId="4" fontId="27" fillId="37" borderId="23" applyFont="1" applyFill="1" applyBorder="1" applyNumberFormat="1">
      <alignment horizontal="right" vertical="center" wrapText="1"/>
    </xf>
    <xf numFmtId="2" fontId="27" fillId="0" borderId="30" applyFont="1" applyFill="0" applyBorder="1" applyNumberFormat="1">
      <alignment horizontal="center" vertical="center" wrapText="1"/>
    </xf>
    <xf numFmtId="0" fontId="44" fillId="0" borderId="28" applyFont="1" applyFill="0" applyBorder="1">
      <alignment vertical="center" wrapText="1"/>
    </xf>
    <xf numFmtId="49" fontId="48" fillId="41" borderId="21" applyFont="1" applyFill="1" applyBorder="1" applyNumberFormat="1">
      <alignment horizontal="left" vertical="center"/>
    </xf>
    <xf numFmtId="0" fontId="48" fillId="0" borderId="23" applyFont="1" applyFill="0" applyBorder="1">
      <alignment horizontal="left" vertical="center" indent="1"/>
    </xf>
    <xf numFmtId="49" fontId="27" fillId="0" borderId="30" applyFont="1" applyFill="0" applyBorder="1" applyNumberFormat="1">
      <alignment horizontal="center" vertical="center" wrapText="1"/>
    </xf>
    <xf numFmtId="0" fontId="44" fillId="0" borderId="30" applyFont="1" applyFill="0" applyBorder="1">
      <alignment vertical="center" wrapText="1"/>
    </xf>
    <xf numFmtId="4" fontId="44" fillId="0" borderId="23" applyFont="1" applyFill="0" applyBorder="1" applyNumberFormat="1">
      <alignment horizontal="right" vertical="center" wrapText="1"/>
    </xf>
    <xf numFmtId="2" fontId="44" fillId="0" borderId="30" applyFont="1" applyFill="0" applyBorder="1" applyNumberFormat="1">
      <alignment horizontal="center" vertical="center" wrapText="1"/>
    </xf>
    <xf numFmtId="49" fontId="44" fillId="0" borderId="21" applyFont="1" applyFill="0" applyBorder="1" applyNumberFormat="1">
      <alignment horizontal="left" vertical="center"/>
    </xf>
    <xf numFmtId="49" fontId="44" fillId="0" borderId="25" applyFont="1" applyFill="0" applyBorder="1" applyNumberFormat="1">
      <alignment horizontal="left" vertical="center" indent="1"/>
    </xf>
    <xf numFmtId="49" fontId="44" fillId="0" borderId="25" applyFont="1" applyFill="0" applyBorder="1" applyNumberFormat="1">
      <alignment horizontal="left" vertical="center"/>
    </xf>
    <xf numFmtId="49" fontId="44" fillId="0" borderId="20" applyFont="1" applyFill="0" applyBorder="1" applyNumberFormat="1">
      <alignment horizontal="left" vertical="center" indent="1"/>
    </xf>
    <xf numFmtId="0" fontId="44" fillId="0" borderId="23" applyFont="1" applyFill="0" applyBorder="1">
      <alignment horizontal="left" vertical="center" indent="1"/>
    </xf>
    <xf numFmtId="49" fontId="23" fillId="0" borderId="26" applyFont="1" applyFill="0" applyBorder="1" applyNumberFormat="1">
      <alignment vertical="top"/>
    </xf>
    <xf numFmtId="49" fontId="50" fillId="0" borderId="32" applyFont="1" applyFill="0" applyBorder="1" applyNumberFormat="1">
      <alignment horizontal="center" vertical="top" wrapText="1"/>
    </xf>
    <xf numFmtId="49" fontId="27" fillId="38" borderId="21" applyFont="1" applyFill="1" applyBorder="1" applyNumberFormat="1">
      <alignment horizontal="left" vertical="center" wrapText="1" indent="1"/>
      <protection locked="0"/>
    </xf>
    <xf numFmtId="0" fontId="27" fillId="0" borderId="23" applyFont="1" applyFill="0" applyBorder="1">
      <alignment vertical="center" wrapText="1"/>
    </xf>
    <xf numFmtId="49" fontId="23" fillId="0" borderId="20" applyFont="1" applyFill="0" applyBorder="1" applyNumberFormat="1">
      <alignment horizontal="center" vertical="center" wrapText="1"/>
    </xf>
    <xf numFmtId="0" fontId="23" fillId="0" borderId="23" applyFont="1" applyFill="0" applyBorder="1">
      <alignment horizontal="left" vertical="center" wrapText="1"/>
    </xf>
    <xf numFmtId="4" fontId="23" fillId="37" borderId="23" applyFont="1" applyFill="1" applyBorder="1" applyNumberFormat="1">
      <alignment horizontal="right" vertical="center" wrapText="1"/>
    </xf>
    <xf numFmtId="0" fontId="23" fillId="38" borderId="23" applyFont="1" applyFill="1" applyBorder="1">
      <alignment horizontal="left" vertical="center" wrapText="1"/>
      <protection locked="0"/>
    </xf>
    <xf numFmtId="49" fontId="23" fillId="38" borderId="21" applyFont="1" applyFill="1" applyBorder="1" applyNumberFormat="1">
      <alignment horizontal="left" vertical="center" wrapText="1"/>
      <protection locked="0"/>
    </xf>
    <xf numFmtId="0" fontId="23" fillId="0" borderId="23" applyFont="1" applyFill="0" applyBorder="1">
      <alignment vertical="center" wrapText="1"/>
    </xf>
    <xf numFmtId="49" fontId="23" fillId="0" borderId="34" applyFont="1" applyFill="0" applyBorder="1" applyNumberFormat="1">
      <alignment horizontal="center" vertical="center" wrapText="1"/>
    </xf>
    <xf numFmtId="4" fontId="37" fillId="0" borderId="23" applyFont="1" applyFill="0" applyBorder="1" applyNumberFormat="1">
      <alignment horizontal="right" vertical="center" wrapText="1"/>
    </xf>
    <xf numFmtId="49" fontId="23" fillId="41" borderId="35" applyFont="1" applyFill="1" applyBorder="1" applyNumberFormat="1">
      <alignment horizontal="center" vertical="center"/>
    </xf>
    <xf numFmtId="49" fontId="23" fillId="41" borderId="25" applyFont="1" applyFill="1" applyBorder="1" applyNumberFormat="1">
      <alignment horizontal="center" vertical="center"/>
    </xf>
    <xf numFmtId="49" fontId="27" fillId="0" borderId="30" applyFont="1" applyFill="0" applyBorder="1" applyNumberFormat="1">
      <alignment horizontal="center" vertical="top" wrapText="1"/>
    </xf>
    <xf numFmtId="49" fontId="23" fillId="0" borderId="28" applyFont="1" applyFill="0" applyBorder="1" applyNumberFormat="1">
      <alignment vertical="top"/>
    </xf>
    <xf numFmtId="49" fontId="23" fillId="0" borderId="29" applyFont="1" applyFill="0" applyBorder="1" applyNumberFormat="1">
      <alignment vertical="top"/>
    </xf>
    <xf numFmtId="0" fontId="27" fillId="40" borderId="23" applyFont="1" applyFill="1" applyBorder="1">
      <alignment horizontal="left" vertical="top" wrapText="1"/>
    </xf>
    <xf numFmtId="0" fontId="23" fillId="40" borderId="23" applyFont="1" applyFill="1" applyBorder="1">
      <alignment horizontal="left" vertical="center" wrapText="1"/>
    </xf>
    <xf numFmtId="0" fontId="48" fillId="41" borderId="21" applyFont="1" applyFill="1" applyBorder="1">
      <alignment horizontal="left" vertical="center"/>
    </xf>
    <xf numFmtId="0" fontId="48" fillId="41" borderId="25" applyFont="1" applyFill="1" applyBorder="1">
      <alignment horizontal="left" vertical="center"/>
    </xf>
    <xf numFmtId="0" fontId="48" fillId="41" borderId="20" applyFont="1" applyFill="1" applyBorder="1">
      <alignment horizontal="left" vertical="center"/>
    </xf>
    <xf numFmtId="49" fontId="23" fillId="40" borderId="23" applyFont="1" applyFill="1" applyBorder="1" applyNumberFormat="1">
      <alignment horizontal="left" vertical="top"/>
    </xf>
    <xf numFmtId="49" fontId="23" fillId="35" borderId="23" applyFont="1" applyFill="1" applyBorder="1" applyNumberFormat="1">
      <alignment horizontal="left" vertical="top"/>
      <protection locked="0"/>
    </xf>
    <xf numFmtId="49" fontId="23" fillId="40" borderId="23" applyFont="1" applyFill="1" applyBorder="1" applyNumberFormat="1">
      <alignment horizontal="left" vertical="center" wrapText="1"/>
    </xf>
    <xf numFmtId="0" fontId="23" fillId="41" borderId="25" applyFont="1" applyFill="1" applyBorder="1">
      <alignment vertical="center"/>
    </xf>
    <xf numFmtId="49" fontId="23" fillId="0" borderId="42" applyFont="1" applyFill="0" applyBorder="1" applyNumberFormat="1">
      <alignment horizontal="left" vertical="top"/>
    </xf>
    <xf numFmtId="49" fontId="23" fillId="40" borderId="42" applyFont="1" applyFill="1" applyBorder="1" applyNumberFormat="1">
      <alignment horizontal="left" vertical="top"/>
    </xf>
    <xf numFmtId="49" fontId="23" fillId="35" borderId="42" applyFont="1" applyFill="1" applyBorder="1" applyNumberFormat="1">
      <alignment horizontal="left" vertical="top"/>
      <protection locked="0"/>
    </xf>
    <xf numFmtId="49" fontId="27" fillId="40" borderId="0" applyFont="1" applyFill="1" applyBorder="0" applyNumberFormat="1">
      <alignment horizontal="center" vertical="center" wrapText="1"/>
    </xf>
    <xf numFmtId="0" fontId="48" fillId="0" borderId="42" applyFont="1" applyFill="0" applyBorder="1">
      <alignment horizontal="left" vertical="center"/>
    </xf>
    <xf numFmtId="49" fontId="23" fillId="40" borderId="42" applyFont="1" applyFill="1" applyBorder="1" applyNumberFormat="1">
      <alignment horizontal="left" vertical="center" wrapText="1"/>
    </xf>
    <xf numFmtId="0" fontId="48" fillId="35" borderId="42" applyFont="1" applyFill="1" applyBorder="1">
      <alignment horizontal="left" vertical="center"/>
      <protection locked="0"/>
    </xf>
    <xf numFmtId="0" fontId="48" fillId="38" borderId="42" applyFont="1" applyFill="1" applyBorder="1">
      <alignment horizontal="left" vertical="center"/>
      <protection locked="0"/>
    </xf>
    <xf numFmtId="49" fontId="44" fillId="0" borderId="23" applyFont="1" applyFill="0" applyBorder="1" applyNumberFormat="1">
      <alignment horizontal="center" vertical="center" wrapText="1"/>
    </xf>
    <xf numFmtId="49" fontId="44" fillId="0" borderId="21" applyFont="1" applyFill="0" applyBorder="1" applyNumberFormat="1">
      <alignment horizontal="left" vertical="center" wrapText="1"/>
    </xf>
    <xf numFmtId="0" fontId="44" fillId="0" borderId="21" applyFont="1" applyFill="0" applyBorder="1">
      <alignment horizontal="left" vertical="center"/>
    </xf>
    <xf numFmtId="0" fontId="44" fillId="0" borderId="25" applyFont="1" applyFill="0" applyBorder="1">
      <alignment horizontal="left" vertical="center"/>
    </xf>
    <xf numFmtId="0" fontId="48" fillId="41" borderId="34" applyFont="1" applyFill="1" applyBorder="1">
      <alignment horizontal="left" vertical="center"/>
    </xf>
    <xf numFmtId="49" fontId="23" fillId="35" borderId="42" applyFont="1" applyFill="1" applyBorder="1" applyNumberFormat="1">
      <alignment vertical="top"/>
      <protection locked="0"/>
    </xf>
    <xf numFmtId="49" fontId="27" fillId="0" borderId="42" applyFont="1" applyFill="0" applyBorder="1" applyNumberFormat="1">
      <alignment horizontal="center" vertical="center"/>
    </xf>
    <xf numFmtId="49" fontId="27" fillId="0" borderId="42" applyFont="1" applyFill="0" applyBorder="1" applyNumberFormat="1">
      <alignment vertical="center" wrapText="1"/>
    </xf>
    <xf numFmtId="0" fontId="27" fillId="0" borderId="29" applyFont="1" applyFill="0" applyBorder="1">
      <alignment horizontal="center" vertical="center"/>
    </xf>
    <xf numFmtId="49" fontId="27" fillId="0" borderId="32" applyFont="1" applyFill="0" applyBorder="1" applyNumberFormat="1">
      <alignment horizontal="left" vertical="center" wrapText="1"/>
    </xf>
    <xf numFmtId="49" fontId="50" fillId="0" borderId="42" applyFont="1" applyFill="0" applyBorder="1" applyNumberFormat="1">
      <alignment vertical="center" wrapText="1"/>
    </xf>
    <xf numFmtId="0" fontId="27" fillId="40" borderId="32" applyFont="1" applyFill="1" applyBorder="1">
      <alignment horizontal="left" vertical="center" wrapText="1"/>
    </xf>
    <xf numFmtId="49" fontId="27" fillId="40" borderId="32" applyFont="1" applyFill="1" applyBorder="1" applyNumberFormat="1">
      <alignment horizontal="left" vertical="center" wrapText="1"/>
    </xf>
    <xf numFmtId="0" fontId="27" fillId="0" borderId="42" applyFont="1" applyFill="0" applyBorder="1">
      <alignment horizontal="left" vertical="center" wrapText="1"/>
    </xf>
    <xf numFmtId="49" fontId="27" fillId="0" borderId="42" applyFont="1" applyFill="0" applyBorder="1" applyNumberFormat="1">
      <alignment horizontal="left" vertical="center" wrapText="1"/>
    </xf>
    <xf numFmtId="0" fontId="27" fillId="40" borderId="42" applyFont="1" applyFill="1" applyBorder="1">
      <alignment horizontal="left" vertical="center" wrapText="1"/>
    </xf>
    <xf numFmtId="49" fontId="27" fillId="40" borderId="30" applyFont="1" applyFill="1" applyBorder="1" applyNumberFormat="1">
      <alignment horizontal="left" vertical="center" wrapText="1"/>
    </xf>
    <xf numFmtId="0" fontId="48" fillId="0" borderId="30" applyFont="1" applyFill="0" applyBorder="1">
      <alignment horizontal="left" vertical="center"/>
    </xf>
    <xf numFmtId="0" fontId="48" fillId="41" borderId="33" applyFont="1" applyFill="1" applyBorder="1">
      <alignment horizontal="left" vertical="center"/>
    </xf>
    <xf numFmtId="0" fontId="48" fillId="41" borderId="26" applyFont="1" applyFill="1" applyBorder="1">
      <alignment horizontal="left" vertical="center"/>
    </xf>
    <xf numFmtId="0" fontId="48" fillId="41" borderId="27" applyFont="1" applyFill="1" applyBorder="1">
      <alignment horizontal="left" vertical="center"/>
    </xf>
    <xf numFmtId="49" fontId="27" fillId="38" borderId="32" applyFont="1" applyFill="1" applyBorder="1" applyNumberFormat="1">
      <alignment horizontal="left" vertical="center" wrapText="1"/>
      <protection locked="0"/>
    </xf>
    <xf numFmtId="49" fontId="50" fillId="0" borderId="42" applyFont="1" applyFill="0" applyBorder="1" applyNumberFormat="1">
      <alignment horizontal="center" vertical="center" wrapText="1"/>
    </xf>
    <xf numFmtId="0" fontId="48" fillId="41" borderId="33" applyFont="1" applyFill="1" applyBorder="1">
      <alignment vertical="center"/>
    </xf>
    <xf numFmtId="49" fontId="27" fillId="35" borderId="32" applyFont="1" applyFill="1" applyBorder="1" applyNumberFormat="1">
      <alignment horizontal="left" vertical="center" wrapText="1"/>
      <protection locked="0"/>
    </xf>
    <xf numFmtId="49" fontId="56" fillId="41" borderId="21" applyFont="1" applyFill="1" applyBorder="1" applyNumberFormat="1">
      <alignment vertical="top"/>
    </xf>
    <xf numFmtId="49" fontId="56" fillId="41" borderId="25" applyFont="1" applyFill="1" applyBorder="1" applyNumberFormat="1">
      <alignment vertical="top"/>
    </xf>
    <xf numFmtId="0" fontId="27" fillId="39" borderId="0" applyFont="1" applyFill="1" applyBorder="0">
      <alignment horizontal="right" vertical="center" wrapText="1"/>
    </xf>
    <xf numFmtId="0" fontId="27" fillId="39" borderId="0" applyFont="1" applyFill="1" applyBorder="0">
      <alignment horizontal="right" vertical="center"/>
    </xf>
    <xf numFmtId="0" fontId="23" fillId="0" borderId="23" applyFont="1" applyFill="0" applyBorder="1">
      <alignment horizontal="left" vertical="center" wrapText="1" indent="1"/>
    </xf>
    <xf numFmtId="0" fontId="23" fillId="38" borderId="23" applyFont="1" applyFill="1" applyBorder="1">
      <alignment horizontal="left" vertical="center" wrapText="1" indent="2"/>
      <protection locked="0"/>
    </xf>
    <xf numFmtId="49" fontId="78" fillId="41" borderId="20" applyFont="1" applyFill="1" applyBorder="1" applyNumberFormat="1">
      <alignment horizontal="center" vertical="top"/>
    </xf>
    <xf numFmtId="0" fontId="27" fillId="0" borderId="32" applyFont="1" applyFill="0" applyBorder="1">
      <alignment vertical="center" wrapText="1"/>
    </xf>
    <xf numFmtId="49" fontId="36" fillId="38" borderId="21" applyFont="1" applyFill="1" applyBorder="1" applyNumberFormat="1">
      <alignment horizontal="left" vertical="center" wrapText="1"/>
      <protection locked="0"/>
    </xf>
    <xf numFmtId="49" fontId="78" fillId="41" borderId="25" applyFont="1" applyFill="1" applyBorder="1" applyNumberFormat="1">
      <alignment horizontal="center" vertical="top"/>
    </xf>
    <xf numFmtId="49" fontId="56" fillId="0" borderId="23" applyFont="1" applyFill="0" applyBorder="1" applyNumberFormat="1">
      <alignment horizontal="center" vertical="center" wrapText="1"/>
    </xf>
    <xf numFmtId="0" fontId="56" fillId="0" borderId="23" applyFont="1" applyFill="0" applyBorder="1">
      <alignment horizontal="left" vertical="center" wrapText="1" indent="2"/>
    </xf>
    <xf numFmtId="49" fontId="79" fillId="0" borderId="21" applyFont="1" applyFill="0" applyBorder="1" applyNumberFormat="1">
      <alignment horizontal="left" vertical="center" wrapText="1"/>
    </xf>
    <xf numFmtId="0" fontId="27" fillId="0" borderId="32" applyFont="1" applyFill="0" applyBorder="1">
      <alignment vertical="top" wrapText="1"/>
    </xf>
    <xf numFmtId="0" fontId="27" fillId="0" borderId="30" applyFont="1" applyFill="0" applyBorder="1">
      <alignment vertical="top" wrapText="1"/>
    </xf>
    <xf numFmtId="49" fontId="27" fillId="0" borderId="0" applyFont="1" applyFill="0" applyBorder="0" applyNumberFormat="1">
      <alignment vertical="center" wrapText="1"/>
    </xf>
    <xf numFmtId="0" fontId="70" fillId="0" borderId="0" applyFont="1" applyFill="0" applyBorder="0">
      <alignment vertical="center" wrapText="1"/>
    </xf>
    <xf numFmtId="0" fontId="27" fillId="0" borderId="42" applyFont="1" applyFill="0" applyBorder="1">
      <alignment vertical="center" wrapText="1"/>
    </xf>
    <xf numFmtId="0" fontId="23" fillId="37" borderId="23" applyFont="1" applyFill="1" applyBorder="1">
      <alignment horizontal="center" vertical="center" wrapText="1"/>
    </xf>
    <xf numFmtId="438" fontId="23" fillId="38" borderId="20" applyFont="1" applyFill="1" applyBorder="1" applyNumberFormat="1">
      <alignment horizontal="left" vertical="center" wrapText="1"/>
      <protection locked="0"/>
    </xf>
    <xf numFmtId="438" fontId="23" fillId="38" borderId="21" applyFont="1" applyFill="1" applyBorder="1" applyNumberFormat="1">
      <alignment horizontal="left" vertical="center" wrapText="1"/>
      <protection locked="0"/>
    </xf>
    <xf numFmtId="0" fontId="27" fillId="40" borderId="23" applyFont="1" applyFill="1" applyBorder="1">
      <alignment horizontal="left" vertical="center" wrapText="1"/>
    </xf>
    <xf numFmtId="0" fontId="23" fillId="0" borderId="42" applyFont="1" applyFill="0" applyBorder="1">
      <alignment horizontal="center" vertical="center" wrapText="1"/>
    </xf>
    <xf numFmtId="0" fontId="27" fillId="0" borderId="0" applyFont="1" applyFill="0" applyBorder="0">
      <alignment vertical="top" wrapText="1"/>
    </xf>
    <xf numFmtId="49" fontId="48" fillId="41" borderId="45" applyFont="1" applyFill="1" applyBorder="1" applyNumberFormat="1">
      <alignment horizontal="left" vertical="center"/>
    </xf>
    <xf numFmtId="0" fontId="27" fillId="0" borderId="25" applyFont="1" applyFill="0" applyBorder="1">
      <alignment horizontal="left" vertical="top" wrapText="1" indent="1"/>
    </xf>
    <xf numFmtId="0" fontId="31" fillId="39" borderId="0" applyFont="1" applyFill="1" applyBorder="0">
      <alignment horizontal="center" vertical="center" wrapText="1"/>
    </xf>
    <xf numFmtId="0" fontId="23" fillId="39" borderId="21" applyFont="1" applyFill="1" applyBorder="1">
      <alignment horizontal="right" vertical="center" wrapText="1" indent="1"/>
    </xf>
    <xf numFmtId="438" fontId="27" fillId="37" borderId="23" applyFont="1" applyFill="1" applyBorder="1" applyNumberFormat="1">
      <alignment horizontal="left" vertical="center" wrapText="1" indent="1"/>
    </xf>
    <xf numFmtId="0" fontId="27" fillId="37" borderId="23" applyFont="1" applyFill="1" applyBorder="1">
      <alignment horizontal="left" vertical="center" wrapText="1" indent="1"/>
    </xf>
    <xf numFmtId="0" fontId="27" fillId="39" borderId="32" applyFont="1" applyFill="1" applyBorder="1">
      <alignment horizontal="center" vertical="center" wrapText="1"/>
    </xf>
    <xf numFmtId="0" fontId="27" fillId="39" borderId="25" applyFont="1" applyFill="1" applyBorder="1">
      <alignment horizontal="center" vertical="center" wrapText="1"/>
    </xf>
    <xf numFmtId="0" fontId="27" fillId="39" borderId="20" applyFont="1" applyFill="1" applyBorder="1">
      <alignment horizontal="center" vertical="center" wrapText="1"/>
    </xf>
    <xf numFmtId="0" fontId="27" fillId="39" borderId="30" applyFont="1" applyFill="1" applyBorder="1">
      <alignment horizontal="center" vertical="center" wrapText="1"/>
    </xf>
    <xf numFmtId="49" fontId="47" fillId="39" borderId="26" applyFont="1" applyFill="1" applyBorder="1" applyNumberFormat="1">
      <alignment horizontal="center" vertical="center" wrapText="1"/>
    </xf>
    <xf numFmtId="49" fontId="23" fillId="39" borderId="32" applyFont="1" applyFill="1" applyBorder="1" applyNumberFormat="1">
      <alignment horizontal="center" vertical="center" wrapText="1"/>
    </xf>
    <xf numFmtId="0" fontId="23" fillId="0" borderId="32" applyFont="1" applyFill="0" applyBorder="1">
      <alignment horizontal="left" vertical="center" wrapText="1"/>
    </xf>
    <xf numFmtId="0" fontId="70" fillId="39" borderId="0" applyFont="1" applyFill="1" applyBorder="0">
      <alignment horizontal="center" vertical="top" wrapText="1"/>
    </xf>
    <xf numFmtId="0" fontId="23" fillId="37" borderId="21" applyFont="1" applyFill="1" applyBorder="1">
      <alignment horizontal="left" vertical="center" wrapText="1" indent="1"/>
    </xf>
    <xf numFmtId="49" fontId="48" fillId="41" borderId="45" applyFont="1" applyFill="1" applyBorder="1" applyNumberFormat="1">
      <alignment horizontal="left" vertical="center" indent="2"/>
    </xf>
    <xf numFmtId="0" fontId="70" fillId="39" borderId="29" applyFont="1" applyFill="1" applyBorder="1">
      <alignment horizontal="center" vertical="top" wrapText="1"/>
    </xf>
    <xf numFmtId="49" fontId="23" fillId="39" borderId="30" applyFont="1" applyFill="1" applyBorder="1" applyNumberFormat="1">
      <alignment horizontal="center" vertical="center" wrapText="1"/>
    </xf>
    <xf numFmtId="0" fontId="23" fillId="37" borderId="30" applyFont="1" applyFill="1" applyBorder="1">
      <alignment horizontal="left" vertical="center" wrapText="1" indent="1"/>
    </xf>
    <xf numFmtId="0" fontId="27" fillId="0" borderId="23" applyFont="1" applyFill="0" applyBorder="1">
      <alignment vertical="top" wrapText="1"/>
    </xf>
    <xf numFmtId="49" fontId="23" fillId="39" borderId="21" applyFont="1" applyFill="1" applyBorder="1" applyNumberFormat="1">
      <alignment horizontal="center" vertical="center" wrapText="1"/>
    </xf>
    <xf numFmtId="49" fontId="36" fillId="35" borderId="23" applyFont="1" applyFill="1" applyBorder="1" applyNumberFormat="1">
      <alignment horizontal="left" vertical="center" wrapText="1"/>
      <protection locked="0"/>
    </xf>
    <xf numFmtId="49" fontId="27" fillId="0" borderId="26" applyFont="1" applyFill="0" applyBorder="1" applyNumberFormat="1">
      <alignment vertical="top"/>
    </xf>
    <xf numFmtId="49" fontId="27" fillId="0" borderId="0" applyFont="1" applyFill="0" applyBorder="0" applyNumberFormat="1">
      <alignment vertical="top" wrapText="1"/>
    </xf>
    <xf numFmtId="0" fontId="37" fillId="0" borderId="23" applyFont="1" applyFill="0" applyBorder="1">
      <alignment horizontal="center" vertical="center"/>
    </xf>
    <xf numFmtId="49" fontId="27" fillId="0" borderId="29" applyFont="1" applyFill="0" applyBorder="1" applyNumberFormat="1">
      <alignment vertical="top"/>
    </xf>
    <xf numFmtId="0" fontId="27" fillId="39" borderId="23" applyFont="1" applyFill="1" applyBorder="1">
      <alignment horizontal="left" vertical="center" wrapText="1"/>
    </xf>
    <xf numFmtId="0" fontId="27" fillId="0" borderId="23" applyFont="1" applyFill="0" applyBorder="1">
      <alignment horizontal="left" vertical="center" wrapText="1" indent="6"/>
    </xf>
    <xf numFmtId="0" fontId="27" fillId="37" borderId="21" applyFont="1" applyFill="1" applyBorder="1">
      <alignment horizontal="left" vertical="center" wrapText="1"/>
    </xf>
    <xf numFmtId="0" fontId="27" fillId="37" borderId="25" applyFont="1" applyFill="1" applyBorder="1">
      <alignment horizontal="left" vertical="center" wrapText="1"/>
    </xf>
    <xf numFmtId="0" fontId="27" fillId="37" borderId="20" applyFont="1" applyFill="1" applyBorder="1">
      <alignment horizontal="left" vertical="center" wrapText="1"/>
    </xf>
    <xf numFmtId="0" fontId="49" fillId="0" borderId="23" applyFont="1" applyFill="0" applyBorder="1">
      <alignment vertical="top" wrapText="1"/>
    </xf>
    <xf numFmtId="0" fontId="37" fillId="0" borderId="21" applyFont="1" applyFill="0" applyBorder="1">
      <alignment horizontal="center" vertical="center"/>
    </xf>
    <xf numFmtId="0" fontId="46" fillId="39" borderId="0" applyFont="1" applyFill="1" applyBorder="0">
      <alignment horizontal="center" vertical="center" wrapText="1"/>
    </xf>
    <xf numFmtId="0" fontId="27" fillId="0" borderId="29" applyFont="1" applyFill="0" applyBorder="1">
      <alignment vertical="center" wrapText="1"/>
    </xf>
    <xf numFmtId="0" fontId="27" fillId="39" borderId="23" applyFont="1" applyFill="1" applyBorder="1">
      <alignment horizontal="left" vertical="center" wrapText="1" indent="1"/>
    </xf>
    <xf numFmtId="0" fontId="27" fillId="39" borderId="23" applyFont="1" applyFill="1" applyBorder="1">
      <alignment horizontal="left" vertical="center" wrapText="1" indent="2"/>
    </xf>
    <xf numFmtId="0" fontId="27" fillId="39" borderId="23" applyFont="1" applyFill="1" applyBorder="1">
      <alignment horizontal="left" vertical="center" wrapText="1" indent="3"/>
    </xf>
    <xf numFmtId="0" fontId="37" fillId="0" borderId="0" applyFont="1" applyFill="0" applyBorder="0">
      <alignment horizontal="center" vertical="center"/>
    </xf>
    <xf numFmtId="0" fontId="44" fillId="0" borderId="29" applyFont="1" applyFill="0" applyBorder="1">
      <alignment horizontal="center" vertical="center" wrapText="1"/>
    </xf>
    <xf numFmtId="0" fontId="27" fillId="39" borderId="23" applyFont="1" applyFill="1" applyBorder="1">
      <alignment horizontal="left" vertical="center" wrapText="1" indent="4"/>
    </xf>
    <xf numFmtId="0" fontId="27" fillId="40" borderId="25" applyFont="1" applyFill="1" applyBorder="1">
      <alignment horizontal="left" vertical="center" wrapText="1"/>
    </xf>
    <xf numFmtId="0" fontId="27" fillId="40" borderId="20" applyFont="1" applyFill="1" applyBorder="1">
      <alignment horizontal="left" vertical="center" wrapText="1"/>
    </xf>
    <xf numFmtId="0" fontId="37" fillId="0" borderId="21" applyFont="1" applyFill="0" applyBorder="1">
      <alignment horizontal="center" vertical="center" wrapText="1"/>
    </xf>
    <xf numFmtId="0" fontId="44" fillId="0" borderId="29" applyFont="1" applyFill="0" applyBorder="1">
      <alignment vertical="center" wrapText="1"/>
    </xf>
    <xf numFmtId="0" fontId="27" fillId="39" borderId="23" applyFont="1" applyFill="1" applyBorder="1">
      <alignment horizontal="left" vertical="center" wrapText="1" indent="5"/>
    </xf>
    <xf numFmtId="0" fontId="27" fillId="40" borderId="23" applyFont="1" applyFill="1" applyBorder="1">
      <alignment horizontal="left" vertical="center" wrapText="1" indent="6"/>
    </xf>
    <xf numFmtId="4" fontId="27" fillId="35" borderId="23" applyFont="1" applyFill="1" applyBorder="1" applyNumberFormat="1">
      <alignment horizontal="right" vertical="center" wrapText="1"/>
      <protection locked="0"/>
    </xf>
    <xf numFmtId="4" fontId="27" fillId="0" borderId="23" applyFont="1" applyFill="0" applyBorder="1" applyNumberFormat="1">
      <alignment horizontal="right" vertical="center" wrapText="1"/>
    </xf>
    <xf numFmtId="436" fontId="27" fillId="35" borderId="23" applyFont="1" applyFill="1" applyBorder="1" applyNumberFormat="1">
      <alignment horizontal="right" vertical="center" wrapText="1"/>
      <protection locked="0"/>
    </xf>
    <xf numFmtId="0" fontId="49" fillId="0" borderId="32" applyFont="1" applyFill="0" applyBorder="1">
      <alignment horizontal="left" vertical="top" wrapText="1"/>
    </xf>
    <xf numFmtId="4" fontId="44" fillId="0" borderId="23" applyFont="1" applyFill="0" applyBorder="1" applyNumberFormat="1">
      <alignment horizontal="center" vertical="center" wrapText="1"/>
    </xf>
    <xf numFmtId="0" fontId="49" fillId="0" borderId="42" applyFont="1" applyFill="0" applyBorder="1">
      <alignment horizontal="left" vertical="top" wrapText="1"/>
    </xf>
    <xf numFmtId="49" fontId="57" fillId="41" borderId="21" applyFont="1" applyFill="1" applyBorder="1" applyNumberFormat="1">
      <alignment horizontal="left" vertical="center"/>
    </xf>
    <xf numFmtId="49" fontId="48" fillId="41" borderId="25" applyFont="1" applyFill="1" applyBorder="1" applyNumberFormat="1">
      <alignment horizontal="left" vertical="center" indent="6"/>
    </xf>
    <xf numFmtId="49" fontId="27" fillId="41" borderId="20" applyFont="1" applyFill="1" applyBorder="1" applyNumberFormat="1">
      <alignment horizontal="center" vertical="center" wrapText="1"/>
    </xf>
    <xf numFmtId="0" fontId="49" fillId="0" borderId="30" applyFont="1" applyFill="0" applyBorder="1">
      <alignment horizontal="left" vertical="top" wrapText="1"/>
    </xf>
    <xf numFmtId="49" fontId="48" fillId="41" borderId="25" applyFont="1" applyFill="1" applyBorder="1" applyNumberFormat="1">
      <alignment horizontal="left" vertical="center" indent="5"/>
    </xf>
    <xf numFmtId="49" fontId="23" fillId="41" borderId="25" applyFont="1" applyFill="1" applyBorder="1" applyNumberFormat="1">
      <alignment horizontal="center" vertical="center" wrapText="1"/>
    </xf>
    <xf numFmtId="49" fontId="23" fillId="41" borderId="20" applyFont="1" applyFill="1" applyBorder="1" applyNumberFormat="1">
      <alignment horizontal="center" vertical="center" wrapText="1"/>
    </xf>
    <xf numFmtId="49" fontId="48" fillId="41" borderId="25" applyFont="1" applyFill="1" applyBorder="1" applyNumberFormat="1">
      <alignment horizontal="left" vertical="center" indent="4"/>
    </xf>
    <xf numFmtId="49" fontId="80" fillId="0" borderId="26" applyFont="1" applyFill="0" applyBorder="1" applyNumberFormat="1">
      <alignment horizontal="left" vertical="center"/>
    </xf>
    <xf numFmtId="49" fontId="44" fillId="0" borderId="26" applyFont="1" applyFill="0" applyBorder="1" applyNumberFormat="1">
      <alignment horizontal="left" vertical="center" indent="3"/>
    </xf>
    <xf numFmtId="49" fontId="44" fillId="0" borderId="26" applyFont="1" applyFill="0" applyBorder="1" applyNumberFormat="1">
      <alignment horizontal="center" vertical="center" wrapText="1"/>
    </xf>
    <xf numFmtId="49" fontId="44" fillId="0" borderId="0" applyFont="1" applyFill="0" applyBorder="0" applyNumberFormat="1">
      <alignment horizontal="left" vertical="center" indent="2"/>
    </xf>
    <xf numFmtId="49" fontId="44" fillId="0" borderId="0" applyFont="1" applyFill="0" applyBorder="0" applyNumberFormat="1">
      <alignment horizontal="left" vertical="center" indent="1"/>
    </xf>
    <xf numFmtId="436" fontId="37" fillId="0" borderId="23" applyFont="1" applyFill="0" applyBorder="1" applyNumberFormat="1">
      <alignment horizontal="right" vertical="center" wrapText="1"/>
    </xf>
    <xf numFmtId="438" fontId="37" fillId="0" borderId="23" applyFont="1" applyFill="0" applyBorder="1" applyNumberFormat="1">
      <alignment horizontal="center" vertical="center" wrapText="1"/>
    </xf>
    <xf numFmtId="49" fontId="37" fillId="0" borderId="23" applyFont="1" applyFill="0" applyBorder="1" applyNumberFormat="1">
      <alignment vertical="center" wrapText="1"/>
    </xf>
    <xf numFmtId="0" fontId="27" fillId="39" borderId="0" applyFont="1" applyFill="1" applyBorder="0">
      <alignment horizontal="left" vertical="center" wrapText="1"/>
    </xf>
    <xf numFmtId="0" fontId="23" fillId="39" borderId="23" applyFont="1" applyFill="1" applyBorder="1">
      <alignment horizontal="right" vertical="center" wrapText="1" indent="1"/>
    </xf>
    <xf numFmtId="0" fontId="23" fillId="0" borderId="25" applyFont="1" applyFill="0" applyBorder="1">
      <alignment vertical="center"/>
    </xf>
    <xf numFmtId="0" fontId="27" fillId="39" borderId="45" applyFont="1" applyFill="1" applyBorder="1">
      <alignment vertical="center" wrapText="1"/>
    </xf>
    <xf numFmtId="0" fontId="50" fillId="0" borderId="45" applyFont="1" applyFill="0" applyBorder="1">
      <alignment horizontal="center" vertical="center" wrapText="1"/>
    </xf>
    <xf numFmtId="0" fontId="23" fillId="39" borderId="21" applyFont="1" applyFill="1" applyBorder="1">
      <alignment horizontal="center" vertical="center" wrapText="1"/>
    </xf>
    <xf numFmtId="0" fontId="23" fillId="39" borderId="25" applyFont="1" applyFill="1" applyBorder="1">
      <alignment horizontal="center" vertical="center" wrapText="1"/>
    </xf>
    <xf numFmtId="0" fontId="23" fillId="39" borderId="20" applyFont="1" applyFill="1" applyBorder="1">
      <alignment horizontal="center" vertical="center" wrapText="1"/>
    </xf>
    <xf numFmtId="49" fontId="48" fillId="41" borderId="32" applyFont="1" applyFill="1" applyBorder="1" applyNumberFormat="1">
      <alignment horizontal="center" vertical="center" textRotation="90" wrapText="1"/>
    </xf>
    <xf numFmtId="0" fontId="37" fillId="0" borderId="32" applyFont="1" applyFill="0" applyBorder="1">
      <alignment horizontal="center" vertical="center" wrapText="1"/>
    </xf>
    <xf numFmtId="0" fontId="27" fillId="39" borderId="42" applyFont="1" applyFill="1" applyBorder="1">
      <alignment horizontal="center" vertical="center" wrapText="1"/>
    </xf>
    <xf numFmtId="49" fontId="48" fillId="41" borderId="42" applyFont="1" applyFill="1" applyBorder="1" applyNumberFormat="1">
      <alignment horizontal="center" vertical="center" textRotation="90" wrapText="1"/>
    </xf>
    <xf numFmtId="0" fontId="27" fillId="0" borderId="30" applyFont="1" applyFill="0" applyBorder="1">
      <alignment vertical="center" wrapText="1"/>
    </xf>
    <xf numFmtId="49" fontId="48" fillId="41" borderId="30" applyFont="1" applyFill="1" applyBorder="1" applyNumberFormat="1">
      <alignment horizontal="center" vertical="center" textRotation="90" wrapText="1"/>
    </xf>
    <xf numFmtId="0" fontId="81" fillId="39" borderId="0" applyFont="1" applyFill="1" applyBorder="0">
      <alignment vertical="center" wrapText="1"/>
    </xf>
    <xf numFmtId="0" fontId="82" fillId="39" borderId="0" applyFont="1" applyFill="1" applyBorder="0">
      <alignment vertical="center" wrapText="1"/>
    </xf>
    <xf numFmtId="49" fontId="65" fillId="39" borderId="26" applyFont="1" applyFill="1" applyBorder="1" applyNumberFormat="1">
      <alignment horizontal="left" vertical="center" wrapText="1"/>
    </xf>
    <xf numFmtId="49" fontId="65" fillId="39" borderId="26" applyFont="1" applyFill="1" applyBorder="1" applyNumberFormat="1">
      <alignment horizontal="center" vertical="center" wrapText="1"/>
    </xf>
    <xf numFmtId="0" fontId="44" fillId="39" borderId="26" applyFont="1" applyFill="1" applyBorder="1">
      <alignment horizontal="center" vertical="center" wrapText="1"/>
    </xf>
    <xf numFmtId="0" fontId="65" fillId="39" borderId="26" applyFont="1" applyFill="1" applyBorder="1">
      <alignment horizontal="center" vertical="center" wrapText="1"/>
    </xf>
    <xf numFmtId="0" fontId="37" fillId="0" borderId="0" applyFont="1" applyFill="0" applyBorder="0">
      <alignment horizontal="left" vertical="center" indent="1"/>
    </xf>
    <xf numFmtId="438" fontId="23" fillId="38" borderId="32" applyFont="1" applyFill="1" applyBorder="1" applyNumberFormat="1">
      <alignment horizontal="center" vertical="center" wrapText="1"/>
      <protection locked="0"/>
    </xf>
    <xf numFmtId="4" fontId="27" fillId="0" borderId="32" applyFont="1" applyFill="0" applyBorder="1" applyNumberFormat="1">
      <alignment horizontal="right" vertical="center" wrapText="1"/>
    </xf>
    <xf numFmtId="49" fontId="23" fillId="38" borderId="30" applyFont="1" applyFill="1" applyBorder="1" applyNumberFormat="1">
      <alignment horizontal="center" vertical="center" wrapText="1"/>
      <protection locked="0"/>
    </xf>
    <xf numFmtId="4" fontId="27" fillId="0" borderId="30" applyFont="1" applyFill="0" applyBorder="1" applyNumberFormat="1">
      <alignment horizontal="right" vertical="center" wrapText="1"/>
    </xf>
    <xf numFmtId="436" fontId="27" fillId="0" borderId="23" applyFont="1" applyFill="0" applyBorder="1" applyNumberFormat="1">
      <alignment horizontal="right" vertical="center" wrapText="1"/>
    </xf>
    <xf numFmtId="0" fontId="23" fillId="39" borderId="26" applyFont="1" applyFill="1" applyBorder="1">
      <alignment horizontal="center" vertical="center" wrapText="1"/>
    </xf>
    <xf numFmtId="0" fontId="44" fillId="0" borderId="32" applyFont="1" applyFill="0" applyBorder="1">
      <alignment horizontal="center" vertical="center" wrapText="1"/>
    </xf>
    <xf numFmtId="0" fontId="44" fillId="0" borderId="23" applyFont="1" applyFill="0" applyBorder="1">
      <alignment horizontal="left" vertical="center" wrapText="1" indent="4"/>
    </xf>
    <xf numFmtId="0" fontId="44" fillId="0" borderId="23" applyFont="1" applyFill="0" applyBorder="1">
      <alignment horizontal="left" vertical="center" wrapText="1" indent="6"/>
    </xf>
    <xf numFmtId="0" fontId="44" fillId="0" borderId="21" applyFont="1" applyFill="0" applyBorder="1">
      <alignment horizontal="left" vertical="center" wrapText="1"/>
    </xf>
    <xf numFmtId="0" fontId="44" fillId="0" borderId="25" applyFont="1" applyFill="0" applyBorder="1">
      <alignment horizontal="left" vertical="center" wrapText="1"/>
    </xf>
    <xf numFmtId="0" fontId="44" fillId="0" borderId="20" applyFont="1" applyFill="0" applyBorder="1">
      <alignment horizontal="left" vertical="center" wrapText="1"/>
    </xf>
    <xf numFmtId="0" fontId="44" fillId="0" borderId="23" applyFont="1" applyFill="0" applyBorder="1">
      <alignment vertical="top" wrapText="1"/>
    </xf>
    <xf numFmtId="49" fontId="80" fillId="0" borderId="21" applyFont="1" applyFill="0" applyBorder="1" applyNumberFormat="1">
      <alignment horizontal="left" vertical="center"/>
    </xf>
    <xf numFmtId="49" fontId="44" fillId="0" borderId="25" applyFont="1" applyFill="0" applyBorder="1" applyNumberFormat="1">
      <alignment horizontal="left" vertical="center" indent="4"/>
    </xf>
    <xf numFmtId="49" fontId="44" fillId="0" borderId="25" applyFont="1" applyFill="0" applyBorder="1" applyNumberFormat="1">
      <alignment horizontal="center" vertical="center" wrapText="1"/>
    </xf>
    <xf numFmtId="49" fontId="44" fillId="0" borderId="20" applyFont="1" applyFill="0" applyBorder="1" applyNumberFormat="1">
      <alignment horizontal="center" vertical="center" wrapText="1"/>
    </xf>
    <xf numFmtId="0" fontId="44" fillId="0" borderId="0" applyFont="1" applyFill="0" applyBorder="0">
      <alignment horizontal="center" vertical="center"/>
    </xf>
    <xf numFmtId="0" fontId="27" fillId="39" borderId="32" applyFont="1" applyFill="1" applyBorder="1">
      <alignment horizontal="left" vertical="center" wrapText="1"/>
    </xf>
    <xf numFmtId="0" fontId="27" fillId="39" borderId="32" applyFont="1" applyFill="1" applyBorder="1">
      <alignment horizontal="left" vertical="center" wrapText="1" indent="2"/>
    </xf>
    <xf numFmtId="0" fontId="27" fillId="0" borderId="32" applyFont="1" applyFill="0" applyBorder="1">
      <alignment horizontal="left" vertical="center" wrapText="1" indent="6"/>
    </xf>
    <xf numFmtId="0" fontId="27" fillId="37" borderId="33" applyFont="1" applyFill="1" applyBorder="1">
      <alignment horizontal="left" vertical="center" wrapText="1"/>
    </xf>
    <xf numFmtId="0" fontId="27" fillId="37" borderId="26" applyFont="1" applyFill="1" applyBorder="1">
      <alignment horizontal="left" vertical="center" wrapText="1"/>
    </xf>
    <xf numFmtId="0" fontId="27" fillId="37" borderId="27" applyFont="1" applyFill="1" applyBorder="1">
      <alignment horizontal="left" vertical="center" wrapText="1"/>
    </xf>
    <xf numFmtId="0" fontId="27" fillId="37" borderId="23" applyFont="1" applyFill="1" applyBorder="1">
      <alignment horizontal="left" vertical="center" wrapText="1"/>
    </xf>
    <xf numFmtId="0" fontId="49" fillId="0" borderId="20" applyFont="1" applyFill="0" applyBorder="1">
      <alignment vertical="top" wrapText="1"/>
    </xf>
    <xf numFmtId="0" fontId="44" fillId="0" borderId="20" applyFont="1" applyFill="0" applyBorder="1">
      <alignment vertical="top" wrapText="1"/>
    </xf>
    <xf numFmtId="0" fontId="27" fillId="39" borderId="30" applyFont="1" applyFill="1" applyBorder="1">
      <alignment horizontal="left" vertical="center" wrapText="1"/>
    </xf>
    <xf numFmtId="0" fontId="27" fillId="40" borderId="30" applyFont="1" applyFill="1" applyBorder="1">
      <alignment horizontal="left" vertical="center" wrapText="1" indent="6"/>
    </xf>
    <xf numFmtId="0" fontId="27" fillId="0" borderId="30" applyFont="1" applyFill="0" applyBorder="1">
      <alignment horizontal="left" vertical="center" wrapText="1" indent="6"/>
    </xf>
    <xf numFmtId="4" fontId="27" fillId="35" borderId="30" applyFont="1" applyFill="1" applyBorder="1" applyNumberFormat="1">
      <alignment horizontal="right" vertical="center" wrapText="1"/>
      <protection locked="0"/>
    </xf>
    <xf numFmtId="436" fontId="27" fillId="35" borderId="30" applyFont="1" applyFill="1" applyBorder="1" applyNumberFormat="1">
      <alignment horizontal="right" vertical="center" wrapText="1"/>
      <protection locked="0"/>
    </xf>
    <xf numFmtId="438" fontId="23" fillId="38" borderId="30" applyFont="1" applyFill="1" applyBorder="1" applyNumberFormat="1">
      <alignment horizontal="center" vertical="center" wrapText="1"/>
      <protection locked="0"/>
    </xf>
    <xf numFmtId="0" fontId="27" fillId="0" borderId="23" applyFont="1" applyFill="0" applyBorder="1">
      <alignment horizontal="center" vertical="center"/>
    </xf>
    <xf numFmtId="0" fontId="27" fillId="0" borderId="21" applyFont="1" applyFill="0" applyBorder="1">
      <alignment horizontal="center" vertical="center"/>
    </xf>
    <xf numFmtId="0" fontId="27" fillId="0" borderId="0" applyFont="1" applyFill="0" applyBorder="0">
      <alignment horizontal="center" vertical="center"/>
    </xf>
    <xf numFmtId="0" fontId="27" fillId="40" borderId="27" applyFont="1" applyFill="1" applyBorder="1">
      <alignment horizontal="left" vertical="center" wrapText="1"/>
    </xf>
    <xf numFmtId="436" fontId="27" fillId="35" borderId="21" applyFont="1" applyFill="1" applyBorder="1" applyNumberFormat="1">
      <alignment horizontal="right" vertical="center" wrapText="1"/>
      <protection locked="0"/>
    </xf>
    <xf numFmtId="4" fontId="27" fillId="35" borderId="20" applyFont="1" applyFill="1" applyBorder="1" applyNumberFormat="1">
      <alignment horizontal="right" vertical="center" wrapText="1"/>
      <protection locked="0"/>
    </xf>
    <xf numFmtId="0" fontId="49" fillId="0" borderId="32" applyFont="1" applyFill="0" applyBorder="1">
      <alignment vertical="top" wrapText="1"/>
    </xf>
    <xf numFmtId="0" fontId="27" fillId="35" borderId="23" applyFont="1" applyFill="1" applyBorder="1">
      <alignment horizontal="left" vertical="center" wrapText="1" indent="7"/>
      <protection locked="0"/>
    </xf>
    <xf numFmtId="4" fontId="44" fillId="0" borderId="21" applyFont="1" applyFill="0" applyBorder="1" applyNumberFormat="1">
      <alignment horizontal="center" vertical="center" wrapText="1"/>
    </xf>
    <xf numFmtId="4" fontId="27" fillId="0" borderId="20" applyFont="1" applyFill="0" applyBorder="1" applyNumberFormat="1">
      <alignment horizontal="right" vertical="center" wrapText="1"/>
    </xf>
    <xf numFmtId="0" fontId="27" fillId="41" borderId="25" applyFont="1" applyFill="1" applyBorder="1">
      <alignment horizontal="left" vertical="center" wrapText="1" indent="6"/>
    </xf>
    <xf numFmtId="4" fontId="27" fillId="41" borderId="25" applyFont="1" applyFill="1" applyBorder="1" applyNumberFormat="1">
      <alignment horizontal="right" vertical="center" wrapText="1"/>
    </xf>
    <xf numFmtId="4" fontId="44" fillId="41" borderId="25" applyFont="1" applyFill="1" applyBorder="1" applyNumberFormat="1">
      <alignment horizontal="center" vertical="center" wrapText="1"/>
    </xf>
    <xf numFmtId="4" fontId="27" fillId="41" borderId="20" applyFont="1" applyFill="1" applyBorder="1" applyNumberFormat="1">
      <alignment horizontal="right" vertical="center" wrapText="1"/>
    </xf>
    <xf numFmtId="49" fontId="27" fillId="41" borderId="45" applyFont="1" applyFill="1" applyBorder="1" applyNumberFormat="1">
      <alignment horizontal="center" vertical="center" wrapText="1"/>
    </xf>
    <xf numFmtId="49" fontId="27" fillId="0" borderId="23" applyFont="1" applyFill="0" applyBorder="1" applyNumberFormat="1">
      <alignment vertical="center" wrapText="1"/>
    </xf>
    <xf numFmtId="0" fontId="27" fillId="0" borderId="26" applyFont="1" applyFill="0" applyBorder="1">
      <alignment horizontal="center" vertical="center" wrapText="1"/>
    </xf>
    <xf numFmtId="0" fontId="27" fillId="0" borderId="45" applyFont="1" applyFill="0" applyBorder="1">
      <alignment horizontal="center" vertical="center" wrapText="1"/>
    </xf>
    <xf numFmtId="0" fontId="55" fillId="0" borderId="0" applyFont="1" applyFill="0" applyBorder="0">
      <alignment horizontal="left" vertical="center" indent="1"/>
    </xf>
    <xf numFmtId="0" fontId="55" fillId="0" borderId="0" applyFont="1" applyFill="0" applyBorder="0">
      <alignment horizontal="center" vertical="center"/>
    </xf>
    <xf numFmtId="0" fontId="45" fillId="39" borderId="0" applyFont="1" applyFill="1" applyBorder="0">
      <alignment horizontal="center" vertical="center" wrapText="1"/>
    </xf>
    <xf numFmtId="0" fontId="44" fillId="0" borderId="23" applyFont="1" applyFill="0" applyBorder="1">
      <alignment horizontal="left" vertical="center" wrapText="1" indent="5"/>
    </xf>
    <xf numFmtId="0" fontId="44" fillId="0" borderId="29" applyFont="1" applyFill="0" applyBorder="1">
      <alignment horizontal="center" vertical="top" wrapText="1"/>
    </xf>
    <xf numFmtId="49" fontId="27" fillId="38" borderId="32" applyFont="1" applyFill="1" applyBorder="1" applyNumberFormat="1">
      <alignment horizontal="left" vertical="center" wrapText="1" indent="6"/>
      <protection locked="0"/>
    </xf>
    <xf numFmtId="0" fontId="50" fillId="0" borderId="23" applyFont="1" applyFill="0" applyBorder="1">
      <alignment horizontal="center" vertical="center" wrapText="1"/>
    </xf>
    <xf numFmtId="0" fontId="27" fillId="0" borderId="23" applyFont="1" applyFill="0" applyBorder="1">
      <alignment horizontal="left" vertical="center" wrapText="1" indent="4"/>
    </xf>
    <xf numFmtId="0" fontId="27" fillId="39" borderId="42" applyFont="1" applyFill="1" applyBorder="1">
      <alignment horizontal="left" vertical="center" wrapText="1"/>
    </xf>
    <xf numFmtId="49" fontId="27" fillId="38" borderId="42" applyFont="1" applyFill="1" applyBorder="1" applyNumberFormat="1">
      <alignment horizontal="left" vertical="center" wrapText="1" indent="6"/>
      <protection locked="0"/>
    </xf>
    <xf numFmtId="436" fontId="27" fillId="41" borderId="20" applyFont="1" applyFill="1" applyBorder="1" applyNumberFormat="1">
      <alignment horizontal="right" vertical="center" wrapText="1"/>
    </xf>
    <xf numFmtId="436" fontId="27" fillId="41" borderId="25" applyFont="1" applyFill="1" applyBorder="1" applyNumberFormat="1">
      <alignment horizontal="right" vertical="center" wrapText="1"/>
    </xf>
    <xf numFmtId="4" fontId="27" fillId="0" borderId="42" applyFont="1" applyFill="0" applyBorder="1" applyNumberFormat="1">
      <alignment horizontal="right" vertical="center" wrapText="1"/>
    </xf>
    <xf numFmtId="49" fontId="48" fillId="41" borderId="21" applyFont="1" applyFill="1" applyBorder="1" applyNumberFormat="1">
      <alignment horizontal="left" vertical="center" indent="1"/>
    </xf>
    <xf numFmtId="49" fontId="27" fillId="38" borderId="30" applyFont="1" applyFill="1" applyBorder="1" applyNumberFormat="1">
      <alignment horizontal="left" vertical="center" wrapText="1" indent="6"/>
      <protection locked="0"/>
    </xf>
    <xf numFmtId="4" fontId="44" fillId="41" borderId="20" applyFont="1" applyFill="1" applyBorder="1" applyNumberFormat="1">
      <alignment horizontal="center" vertical="center" wrapText="1"/>
    </xf>
    <xf numFmtId="49" fontId="48" fillId="41" borderId="21" applyFont="1" applyFill="1" applyBorder="1" applyNumberFormat="1">
      <alignment vertical="center" wrapText="1"/>
    </xf>
    <xf numFmtId="49" fontId="48" fillId="41" borderId="25" applyFont="1" applyFill="1" applyBorder="1" applyNumberFormat="1">
      <alignment vertical="center" wrapText="1"/>
    </xf>
    <xf numFmtId="49" fontId="44" fillId="0" borderId="29" applyFont="1" applyFill="0" applyBorder="1" applyNumberFormat="1">
      <alignment vertical="top"/>
    </xf>
    <xf numFmtId="49" fontId="44" fillId="0" borderId="0" applyFont="1" applyFill="0" applyBorder="0" applyNumberFormat="1">
      <alignment horizontal="center" vertical="center" wrapText="1"/>
    </xf>
    <xf numFmtId="0" fontId="44" fillId="0" borderId="29" applyFont="1" applyFill="0" applyBorder="1">
      <alignment horizontal="left" vertical="center" wrapText="1" indent="1"/>
    </xf>
    <xf numFmtId="436" fontId="44" fillId="0" borderId="23" applyFont="1" applyFill="0" applyBorder="1" applyNumberFormat="1">
      <alignment horizontal="right" vertical="center" wrapText="1"/>
    </xf>
    <xf numFmtId="438" fontId="44" fillId="0" borderId="23" applyFont="1" applyFill="0" applyBorder="1" applyNumberFormat="1">
      <alignment horizontal="center" vertical="center" wrapText="1"/>
    </xf>
    <xf numFmtId="0" fontId="37" fillId="0" borderId="0" applyFont="1" applyFill="0" applyBorder="0">
      <alignment horizontal="left" vertical="center"/>
    </xf>
    <xf numFmtId="0" fontId="83" fillId="39" borderId="0" applyFont="1" applyFill="1" applyBorder="0">
      <alignment vertical="center" wrapText="1"/>
    </xf>
    <xf numFmtId="0" fontId="27" fillId="39" borderId="33" applyFont="1" applyFill="1" applyBorder="1">
      <alignment horizontal="center" vertical="center" wrapText="1"/>
    </xf>
    <xf numFmtId="0" fontId="23" fillId="39" borderId="33" applyFont="1" applyFill="1" applyBorder="1">
      <alignment horizontal="center" vertical="center" wrapText="1"/>
    </xf>
    <xf numFmtId="0" fontId="23" fillId="39" borderId="27" applyFont="1" applyFill="1" applyBorder="1">
      <alignment horizontal="center" vertical="center" wrapText="1"/>
    </xf>
    <xf numFmtId="0" fontId="27" fillId="39" borderId="28" applyFont="1" applyFill="1" applyBorder="1">
      <alignment horizontal="center" vertical="center" wrapText="1"/>
    </xf>
    <xf numFmtId="0" fontId="23" fillId="39" borderId="28" applyFont="1" applyFill="1" applyBorder="1">
      <alignment horizontal="center" vertical="center" wrapText="1"/>
    </xf>
    <xf numFmtId="0" fontId="23" fillId="39" borderId="0" applyFont="1" applyFill="1" applyBorder="0">
      <alignment horizontal="center" vertical="center" wrapText="1"/>
    </xf>
    <xf numFmtId="0" fontId="23" fillId="39" borderId="29" applyFont="1" applyFill="1" applyBorder="1">
      <alignment horizontal="center" vertical="center" wrapText="1"/>
    </xf>
    <xf numFmtId="0" fontId="27" fillId="37" borderId="23" applyFont="1" applyFill="1" applyBorder="1">
      <alignment horizontal="center" vertical="center" wrapText="1"/>
    </xf>
    <xf numFmtId="0" fontId="27" fillId="38" borderId="23" applyFont="1" applyFill="1" applyBorder="1">
      <alignment horizontal="center" vertical="center" wrapText="1"/>
      <protection locked="0"/>
    </xf>
    <xf numFmtId="0" fontId="27" fillId="39" borderId="35" applyFont="1" applyFill="1" applyBorder="1">
      <alignment horizontal="center" vertical="center" wrapText="1"/>
    </xf>
    <xf numFmtId="0" fontId="23" fillId="39" borderId="35" applyFont="1" applyFill="1" applyBorder="1">
      <alignment horizontal="center" vertical="center" wrapText="1"/>
    </xf>
    <xf numFmtId="0" fontId="23" fillId="39" borderId="45" applyFont="1" applyFill="1" applyBorder="1">
      <alignment horizontal="center" vertical="center" wrapText="1"/>
    </xf>
    <xf numFmtId="0" fontId="23" fillId="39" borderId="34" applyFont="1" applyFill="1" applyBorder="1">
      <alignment horizontal="center" vertical="center" wrapText="1"/>
    </xf>
    <xf numFmtId="0" fontId="27" fillId="0" borderId="23" applyFont="1" applyFill="0" applyBorder="1">
      <alignment horizontal="left" vertical="center" wrapText="1" indent="1"/>
    </xf>
    <xf numFmtId="49" fontId="27" fillId="41" borderId="21" applyFont="1" applyFill="1" applyBorder="1" applyNumberFormat="1">
      <alignment horizontal="center" vertical="center" wrapText="1"/>
    </xf>
    <xf numFmtId="49" fontId="55" fillId="0" borderId="29" applyFont="1" applyFill="0" applyBorder="1" applyNumberFormat="1">
      <alignment vertical="top"/>
    </xf>
    <xf numFmtId="0" fontId="83" fillId="0" borderId="0" applyFont="1" applyFill="0" applyBorder="0">
      <alignment vertical="center" wrapText="1"/>
    </xf>
    <xf numFmtId="0" fontId="21" fillId="0" borderId="26" applyFont="1" applyFill="0" applyBorder="1">
      <alignment horizontal="left" vertical="center" wrapText="1" indent="1"/>
    </xf>
    <xf numFmtId="0" fontId="21" fillId="0" borderId="45" applyFont="1" applyFill="0" applyBorder="1">
      <alignment horizontal="left" vertical="center" wrapText="1" indent="1"/>
    </xf>
    <xf numFmtId="4" fontId="27" fillId="37" borderId="23" applyFont="1" applyFill="1" applyBorder="1" applyNumberFormat="1">
      <alignment horizontal="left" vertical="center" wrapText="1"/>
    </xf>
    <xf numFmtId="49" fontId="84" fillId="41" borderId="21" applyFont="1" applyFill="1" applyBorder="1" applyNumberFormat="1">
      <alignment horizontal="left" vertical="center"/>
    </xf>
    <xf numFmtId="49" fontId="85" fillId="41" borderId="25" applyFont="1" applyFill="1" applyBorder="1" applyNumberFormat="1">
      <alignment horizontal="left" vertical="center" indent="3"/>
    </xf>
    <xf numFmtId="49" fontId="55" fillId="41" borderId="25" applyFont="1" applyFill="1" applyBorder="1" applyNumberFormat="1">
      <alignment horizontal="center" vertical="center" wrapText="1"/>
    </xf>
    <xf numFmtId="49" fontId="56" fillId="41" borderId="25" applyFont="1" applyFill="1" applyBorder="1" applyNumberFormat="1">
      <alignment horizontal="center" vertical="center" wrapText="1"/>
    </xf>
    <xf numFmtId="49" fontId="56" fillId="41" borderId="20" applyFont="1" applyFill="1" applyBorder="1" applyNumberFormat="1">
      <alignment horizontal="center" vertical="center" wrapText="1"/>
    </xf>
    <xf numFmtId="49" fontId="85" fillId="41" borderId="25" applyFont="1" applyFill="1" applyBorder="1" applyNumberFormat="1">
      <alignment horizontal="left" vertical="center" indent="2"/>
    </xf>
    <xf numFmtId="49" fontId="85" fillId="41" borderId="25" applyFont="1" applyFill="1" applyBorder="1" applyNumberFormat="1">
      <alignment horizontal="left" vertical="center" indent="1"/>
    </xf>
    <xf numFmtId="49" fontId="56" fillId="41" borderId="21" applyFont="1" applyFill="1" applyBorder="1" applyNumberFormat="1">
      <alignment horizontal="left" vertical="top"/>
    </xf>
    <xf numFmtId="49" fontId="85" fillId="41" borderId="25" applyFont="1" applyFill="1" applyBorder="1" applyNumberFormat="1">
      <alignment horizontal="left" vertical="center"/>
    </xf>
    <xf numFmtId="49" fontId="27" fillId="35" borderId="32" applyFont="1" applyFill="1" applyBorder="1" applyNumberFormat="1">
      <alignment horizontal="left" vertical="center" wrapText="1" indent="6"/>
      <protection locked="0"/>
    </xf>
    <xf numFmtId="4" fontId="27" fillId="38" borderId="23" applyFont="1" applyFill="1" applyBorder="1" applyNumberFormat="1">
      <alignment horizontal="left" vertical="center" wrapText="1" indent="1"/>
      <protection locked="0"/>
    </xf>
    <xf numFmtId="0" fontId="27" fillId="0" borderId="0" applyFont="1" applyFill="0" applyBorder="0">
      <alignment horizontal="left" vertical="center"/>
    </xf>
    <xf numFmtId="0" fontId="27" fillId="38" borderId="20" applyFont="1" applyFill="1" applyBorder="1">
      <alignment horizontal="center" vertical="center" wrapText="1"/>
      <protection locked="0"/>
    </xf>
    <xf numFmtId="0" fontId="27" fillId="39" borderId="34" applyFont="1" applyFill="1" applyBorder="1">
      <alignment horizontal="center" vertical="center" wrapText="1"/>
    </xf>
    <xf numFmtId="49" fontId="86" fillId="0" borderId="0" applyFont="1" applyFill="0" applyBorder="0" applyNumberFormat="1">
      <alignment horizontal="center" vertical="center" wrapText="1"/>
    </xf>
    <xf numFmtId="0" fontId="23" fillId="0" borderId="23" applyFont="1" applyFill="0" applyBorder="1">
      <alignment horizontal="left" vertical="center" wrapText="1" indent="2"/>
    </xf>
    <xf numFmtId="438" fontId="23" fillId="38" borderId="23" applyFont="1" applyFill="1" applyBorder="1" applyNumberFormat="1">
      <alignment horizontal="left" vertical="center" wrapText="1"/>
      <protection locked="0"/>
    </xf>
    <xf numFmtId="49" fontId="48" fillId="41" borderId="25" applyFont="1" applyFill="1" applyBorder="1" applyNumberFormat="1">
      <alignment horizontal="left" vertical="center" indent="3"/>
    </xf>
    <xf numFmtId="0" fontId="27" fillId="0" borderId="0" applyFont="1" applyFill="0" applyBorder="0">
      <alignment horizontal="right" vertical="top" wrapText="1"/>
    </xf>
    <xf numFmtId="0" fontId="23" fillId="0" borderId="23" applyFont="1" applyFill="0" applyBorder="1">
      <alignment horizontal="left" vertical="top" wrapText="1"/>
    </xf>
    <xf numFmtId="0" fontId="27" fillId="0" borderId="26" applyFont="1" applyFill="0" applyBorder="1">
      <alignment vertical="center" wrapText="1"/>
    </xf>
    <xf numFmtId="49" fontId="48" fillId="0" borderId="26" applyFont="1" applyFill="0" applyBorder="1" applyNumberFormat="1">
      <alignment horizontal="left" vertical="center"/>
    </xf>
    <xf numFmtId="49" fontId="48" fillId="0" borderId="26" applyFont="1" applyFill="0" applyBorder="1" applyNumberFormat="1">
      <alignment horizontal="left" vertical="center" indent="2"/>
    </xf>
    <xf numFmtId="49" fontId="78" fillId="0" borderId="26" applyFont="1" applyFill="0" applyBorder="1" applyNumberFormat="1">
      <alignment horizontal="center" vertical="top"/>
    </xf>
    <xf numFmtId="0" fontId="27" fillId="0" borderId="26" applyFont="1" applyFill="0" applyBorder="1">
      <alignment horizontal="left" vertical="top" wrapText="1"/>
    </xf>
    <xf numFmtId="0" fontId="27" fillId="0" borderId="21" applyFont="1" applyFill="0" applyBorder="1">
      <alignment vertical="center" wrapText="1"/>
    </xf>
    <xf numFmtId="0" fontId="27" fillId="0" borderId="25" applyFont="1" applyFill="0" applyBorder="1">
      <alignment horizontal="right" vertical="center" wrapText="1" indent="1"/>
    </xf>
    <xf numFmtId="0" fontId="27" fillId="0" borderId="20" applyFont="1" applyFill="0" applyBorder="1">
      <alignment horizontal="right" vertical="center" wrapText="1" indent="1"/>
    </xf>
    <xf numFmtId="0" fontId="27" fillId="37" borderId="21" applyFont="1" applyFill="1" applyBorder="1">
      <alignment horizontal="left" vertical="top" wrapText="1" indent="1"/>
    </xf>
    <xf numFmtId="0" fontId="27" fillId="37" borderId="20" applyFont="1" applyFill="1" applyBorder="1">
      <alignment horizontal="left" vertical="top" wrapText="1" indent="1"/>
    </xf>
    <xf numFmtId="0" fontId="27" fillId="0" borderId="21" applyFont="1" applyFill="0" applyBorder="1">
      <alignment horizontal="right" vertical="center" wrapText="1"/>
    </xf>
    <xf numFmtId="0" fontId="27" fillId="0" borderId="25" applyFont="1" applyFill="0" applyBorder="1">
      <alignment horizontal="right" vertical="center" wrapText="1"/>
    </xf>
    <xf numFmtId="49" fontId="47" fillId="0" borderId="0" applyFont="1" applyFill="0" applyBorder="0" applyNumberFormat="1">
      <alignment horizontal="center" vertical="center" wrapText="1"/>
    </xf>
    <xf numFmtId="3" fontId="27" fillId="0" borderId="21" applyFont="1" applyFill="0" applyBorder="1" applyNumberFormat="1">
      <alignment vertical="center" wrapText="1"/>
    </xf>
    <xf numFmtId="3" fontId="27" fillId="35" borderId="21" applyFont="1" applyFill="1" applyBorder="1" applyNumberFormat="1">
      <alignment horizontal="right" vertical="center" wrapText="1"/>
      <protection locked="0"/>
    </xf>
    <xf numFmtId="0" fontId="27" fillId="0" borderId="20" applyFont="1" applyFill="0" applyBorder="1">
      <alignment vertical="center" wrapText="1"/>
    </xf>
    <xf numFmtId="4" fontId="27" fillId="35" borderId="21" applyFont="1" applyFill="1" applyBorder="1" applyNumberFormat="1">
      <alignment horizontal="right" vertical="center" wrapText="1"/>
      <protection locked="0"/>
    </xf>
    <xf numFmtId="4" fontId="27" fillId="0" borderId="21" applyFont="1" applyFill="0" applyBorder="1" applyNumberFormat="1">
      <alignment horizontal="right" vertical="center" wrapText="1"/>
    </xf>
    <xf numFmtId="4" fontId="27" fillId="0" borderId="35" applyFont="1" applyFill="0" applyBorder="1" applyNumberFormat="1">
      <alignment horizontal="right" vertical="center" wrapText="1"/>
    </xf>
    <xf numFmtId="0" fontId="87" fillId="0" borderId="0" applyFont="1" applyFill="0" applyBorder="0">
      <alignment vertical="center" wrapText="1"/>
    </xf>
    <xf numFmtId="3" fontId="27" fillId="38" borderId="21" applyFont="1" applyFill="1" applyBorder="1" applyNumberFormat="1">
      <alignment vertical="center" wrapText="1"/>
      <protection locked="0"/>
    </xf>
    <xf numFmtId="49" fontId="27" fillId="35" borderId="21" applyFont="1" applyFill="1" applyBorder="1" applyNumberFormat="1">
      <alignment horizontal="left" vertical="center" wrapText="1"/>
      <protection locked="0"/>
    </xf>
    <xf numFmtId="4" fontId="27" fillId="37" borderId="21" applyFont="1" applyFill="1" applyBorder="1" applyNumberFormat="1">
      <alignment horizontal="right" vertical="center" wrapText="1"/>
    </xf>
    <xf numFmtId="0" fontId="37" fillId="0" borderId="23" applyFont="1" applyFill="0" applyBorder="1">
      <alignment vertical="top" wrapText="1"/>
    </xf>
    <xf numFmtId="0" fontId="23" fillId="0" borderId="21" applyFont="1" applyFill="0" applyBorder="1">
      <alignment horizontal="center" vertical="center"/>
    </xf>
    <xf numFmtId="438" fontId="23" fillId="35" borderId="23" applyFont="1" applyFill="1" applyBorder="1" applyNumberFormat="1">
      <alignment horizontal="left" vertical="center" wrapText="1" indent="1"/>
      <protection locked="0"/>
    </xf>
    <xf numFmtId="49" fontId="23" fillId="0" borderId="21" applyFont="1" applyFill="0" applyBorder="1" applyNumberFormat="1">
      <alignment horizontal="center" vertical="center"/>
    </xf>
    <xf numFmtId="49" fontId="23" fillId="0" borderId="23" applyFont="1" applyFill="0" applyBorder="1" applyNumberFormat="1">
      <alignment vertical="center" wrapText="1"/>
    </xf>
    <xf numFmtId="0" fontId="37" fillId="41" borderId="20" applyFont="1" applyFill="1" applyBorder="1">
      <alignment vertical="center" wrapText="1"/>
    </xf>
    <xf numFmtId="0" fontId="27" fillId="41" borderId="26" applyFont="1" applyFill="1" applyBorder="1">
      <alignment vertical="center" wrapText="1"/>
    </xf>
    <xf numFmtId="0" fontId="27" fillId="41" borderId="45" applyFont="1" applyFill="1" applyBorder="1">
      <alignment vertical="center" wrapText="1"/>
    </xf>
    <xf numFmtId="0" fontId="27" fillId="35" borderId="21" applyFont="1" applyFill="1" applyBorder="1">
      <alignment horizontal="left" vertical="center" wrapText="1"/>
      <protection locked="0"/>
    </xf>
    <xf numFmtId="0" fontId="27" fillId="35" borderId="25" applyFont="1" applyFill="1" applyBorder="1">
      <alignment horizontal="left" vertical="center" wrapText="1"/>
      <protection locked="0"/>
    </xf>
    <xf numFmtId="0" fontId="27" fillId="35" borderId="20" applyFont="1" applyFill="1" applyBorder="1">
      <alignment horizontal="left" vertical="center" wrapText="1"/>
      <protection locked="0"/>
    </xf>
    <xf numFmtId="49" fontId="27" fillId="35" borderId="25" applyFont="1" applyFill="1" applyBorder="1" applyNumberFormat="1">
      <alignment horizontal="left" vertical="center" wrapText="1"/>
      <protection locked="0"/>
    </xf>
    <xf numFmtId="49" fontId="27" fillId="35" borderId="20" applyFont="1" applyFill="1" applyBorder="1" applyNumberFormat="1">
      <alignment horizontal="left" vertical="center" wrapText="1"/>
      <protection locked="0"/>
    </xf>
    <xf numFmtId="49" fontId="27" fillId="35" borderId="23" applyFont="1" applyFill="1" applyBorder="1" applyNumberFormat="1">
      <alignment horizontal="left" vertical="center" wrapText="1" indent="6"/>
      <protection locked="0"/>
    </xf>
    <xf numFmtId="4" fontId="27" fillId="0" borderId="33" applyFont="1" applyFill="0" applyBorder="1" applyNumberFormat="1">
      <alignment horizontal="right" vertical="center" wrapText="1"/>
    </xf>
    <xf numFmtId="0" fontId="49" fillId="0" borderId="23" applyFont="1" applyFill="0" applyBorder="1">
      <alignment horizontal="left" vertical="top" wrapText="1"/>
    </xf>
    <xf numFmtId="49" fontId="23" fillId="41" borderId="34" applyFont="1" applyFill="1" applyBorder="1" applyNumberFormat="1">
      <alignment horizontal="center" vertical="center" wrapText="1"/>
    </xf>
    <xf numFmtId="0" fontId="88" fillId="39" borderId="0" applyFont="1" applyFill="1" applyBorder="0">
      <alignment horizontal="center" vertical="center" wrapText="1"/>
    </xf>
    <xf numFmtId="0" fontId="44" fillId="39" borderId="23" applyFont="1" applyFill="1" applyBorder="1">
      <alignment horizontal="left" vertical="center" wrapText="1" indent="3"/>
    </xf>
    <xf numFmtId="4" fontId="27" fillId="38" borderId="23" applyFont="1" applyFill="1" applyBorder="1" applyNumberFormat="1">
      <alignment horizontal="center" vertical="center" wrapText="1"/>
      <protection locked="0"/>
    </xf>
    <xf numFmtId="49" fontId="27" fillId="40" borderId="27" applyFont="1" applyFill="1" applyBorder="1" applyNumberFormat="1">
      <alignment horizontal="center" vertical="center" wrapText="1"/>
    </xf>
    <xf numFmtId="49" fontId="27" fillId="35" borderId="42" applyFont="1" applyFill="1" applyBorder="1" applyNumberFormat="1">
      <alignment horizontal="left" vertical="center" wrapText="1" indent="6"/>
      <protection locked="0"/>
    </xf>
    <xf numFmtId="49" fontId="27" fillId="40" borderId="34" applyFont="1" applyFill="1" applyBorder="1" applyNumberFormat="1">
      <alignment horizontal="center" vertical="center" wrapText="1"/>
    </xf>
    <xf numFmtId="49" fontId="27" fillId="35" borderId="30" applyFont="1" applyFill="1" applyBorder="1" applyNumberFormat="1">
      <alignment horizontal="left" vertical="center" wrapText="1" indent="6"/>
      <protection locked="0"/>
    </xf>
    <xf numFmtId="0" fontId="44" fillId="0" borderId="26" applyFont="1" applyFill="0" applyBorder="1">
      <alignment horizontal="left" vertical="center" wrapText="1"/>
    </xf>
    <xf numFmtId="0" fontId="27" fillId="0" borderId="66" applyFont="1" applyFill="0" applyBorder="1">
      <alignment horizontal="center" vertical="center" wrapText="1"/>
    </xf>
    <xf numFmtId="0" fontId="27" fillId="38" borderId="23" applyFont="1" applyFill="1" applyBorder="1">
      <alignment horizontal="left" vertical="center" wrapText="1" indent="2"/>
      <protection locked="0"/>
    </xf>
    <xf numFmtId="0" fontId="44" fillId="0" borderId="66" applyFont="1" applyFill="0" applyBorder="1">
      <alignment horizontal="center" vertical="center" wrapText="1"/>
    </xf>
    <xf numFmtId="0" fontId="44" fillId="0" borderId="23" applyFont="1" applyFill="0" applyBorder="1">
      <alignment horizontal="left" vertical="center" wrapText="1" indent="2"/>
    </xf>
    <xf numFmtId="0" fontId="27" fillId="0" borderId="23" applyFont="1" applyFill="0" applyBorder="1">
      <alignment horizontal="left" vertical="center" wrapText="1" indent="3"/>
    </xf>
    <xf numFmtId="49" fontId="27" fillId="38" borderId="23" applyFont="1" applyFill="1" applyBorder="1" applyNumberFormat="1">
      <alignment horizontal="center" vertical="center" wrapText="1"/>
      <protection locked="0"/>
    </xf>
    <xf numFmtId="0" fontId="27" fillId="35" borderId="23" applyFont="1" applyFill="1" applyBorder="1">
      <alignment horizontal="left" vertical="center" wrapText="1"/>
      <protection locked="0"/>
    </xf>
    <xf numFmtId="0" fontId="27" fillId="0" borderId="20" applyFont="1" applyFill="0" applyBorder="1">
      <alignment vertical="top" wrapText="1"/>
    </xf>
    <xf numFmtId="437" fontId="27" fillId="35" borderId="23" applyFont="1" applyFill="1" applyBorder="1" applyNumberFormat="1">
      <alignment horizontal="right" vertical="center" wrapText="1"/>
      <protection locked="0"/>
    </xf>
    <xf numFmtId="0" fontId="27" fillId="0" borderId="27" applyFont="1" applyFill="0" applyBorder="1">
      <alignment vertical="center" wrapText="1"/>
    </xf>
    <xf numFmtId="0" fontId="80" fillId="39" borderId="0" applyFont="1" applyFill="1" applyBorder="0">
      <alignment horizontal="right" vertical="center"/>
    </xf>
    <xf numFmtId="0" fontId="27" fillId="37" borderId="21" applyFont="1" applyFill="1" applyBorder="1">
      <alignment horizontal="left" vertical="top" wrapText="1"/>
    </xf>
    <xf numFmtId="4" fontId="27" fillId="38" borderId="23" applyFont="1" applyFill="1" applyBorder="1" applyNumberFormat="1">
      <alignment horizontal="right" vertical="center" wrapText="1"/>
      <protection locked="0"/>
    </xf>
    <xf numFmtId="49" fontId="33" fillId="34" borderId="0" applyFont="1" applyFill="1" applyBorder="0" applyNumberFormat="1">
      <alignment horizontal="center" vertical="center" textRotation="90" wrapText="1"/>
    </xf>
    <xf numFmtId="0" fontId="55" fillId="0" borderId="0" applyFont="1" applyFill="0" applyBorder="0">
      <alignment horizontal="center" vertical="center" wrapText="1"/>
    </xf>
    <xf numFmtId="49" fontId="55" fillId="0" borderId="66" applyFont="1" applyFill="0" applyBorder="1" applyNumberFormat="1">
      <alignment horizontal="center" vertical="center" wrapText="1"/>
    </xf>
    <xf numFmtId="0" fontId="55" fillId="0" borderId="23" applyFont="1" applyFill="0" applyBorder="1">
      <alignment horizontal="left" vertical="center" wrapText="1" indent="2"/>
    </xf>
    <xf numFmtId="0" fontId="55" fillId="0" borderId="23" applyFont="1" applyFill="0" applyBorder="1">
      <alignment horizontal="center" vertical="center" wrapText="1"/>
    </xf>
    <xf numFmtId="0" fontId="55" fillId="0" borderId="23" applyFont="1" applyFill="0" applyBorder="1">
      <alignment vertical="center" wrapText="1"/>
    </xf>
    <xf numFmtId="0" fontId="55" fillId="0" borderId="66" applyFont="1" applyFill="0" applyBorder="1">
      <alignment horizontal="center" vertical="center" wrapText="1"/>
    </xf>
    <xf numFmtId="0" fontId="55" fillId="0" borderId="23" applyFont="1" applyFill="0" applyBorder="1">
      <alignment horizontal="left" vertical="center" wrapText="1" indent="3"/>
    </xf>
    <xf numFmtId="4" fontId="55" fillId="0" borderId="23" applyFont="1" applyFill="0" applyBorder="1" applyNumberFormat="1">
      <alignment horizontal="right" vertical="center" wrapText="1"/>
    </xf>
    <xf numFmtId="49" fontId="27" fillId="41" borderId="21" applyFont="1" applyFill="1" applyBorder="1" applyNumberFormat="1">
      <alignment vertical="center" wrapText="1"/>
    </xf>
    <xf numFmtId="0" fontId="27" fillId="0" borderId="23" applyFont="1" applyFill="0" applyBorder="1">
      <alignment horizontal="left" vertical="center" wrapText="1" indent="2"/>
    </xf>
    <xf numFmtId="49" fontId="33" fillId="34" borderId="0" applyFont="1" applyFill="1" applyBorder="0" applyNumberFormat="1">
      <alignment horizontal="center" vertical="center" wrapText="1"/>
    </xf>
    <xf numFmtId="437" fontId="27" fillId="38" borderId="23" applyFont="1" applyFill="1" applyBorder="1" applyNumberFormat="1">
      <alignment horizontal="right" vertical="center" wrapText="1"/>
      <protection locked="0"/>
    </xf>
    <xf numFmtId="0" fontId="37" fillId="0" borderId="0" applyFont="1" applyFill="0" applyBorder="0">
      <alignment horizontal="left" vertical="center" wrapText="1"/>
    </xf>
    <xf numFmtId="4" fontId="27" fillId="37" borderId="32" applyFont="1" applyFill="1" applyBorder="1" applyNumberFormat="1">
      <alignment horizontal="right" vertical="center" wrapText="1"/>
    </xf>
    <xf numFmtId="0" fontId="44" fillId="0" borderId="23" applyFont="1" applyFill="0" applyBorder="1">
      <alignment horizontal="left" vertical="center" wrapText="1" indent="3"/>
    </xf>
    <xf numFmtId="49" fontId="44" fillId="0" borderId="23" applyFont="1" applyFill="0" applyBorder="1" applyNumberFormat="1">
      <alignment vertical="center" wrapText="1"/>
    </xf>
    <xf numFmtId="0" fontId="44" fillId="0" borderId="32" applyFont="1" applyFill="0" applyBorder="1">
      <alignment vertical="top" wrapText="1"/>
    </xf>
    <xf numFmtId="0" fontId="27" fillId="0" borderId="21" applyFont="1" applyFill="0" applyBorder="1">
      <alignment horizontal="left" vertical="center" wrapText="1" indent="2"/>
    </xf>
    <xf numFmtId="4" fontId="27" fillId="38" borderId="20" applyFont="1" applyFill="1" applyBorder="1" applyNumberFormat="1">
      <alignment horizontal="right" vertical="center" wrapText="1"/>
      <protection locked="0"/>
    </xf>
    <xf numFmtId="0" fontId="27" fillId="0" borderId="21" applyFont="1" applyFill="0" applyBorder="1">
      <alignment horizontal="left" vertical="center" wrapText="1" indent="1"/>
    </xf>
    <xf numFmtId="49" fontId="36" fillId="38" borderId="20" applyFont="1" applyFill="1" applyBorder="1" applyNumberFormat="1">
      <alignment horizontal="left" vertical="center" wrapText="1"/>
      <protection locked="0"/>
    </xf>
    <xf numFmtId="437" fontId="27" fillId="38" borderId="20" applyFont="1" applyFill="1" applyBorder="1" applyNumberFormat="1">
      <alignment horizontal="right" vertical="center" wrapText="1"/>
      <protection locked="0"/>
    </xf>
    <xf numFmtId="437" fontId="27" fillId="37" borderId="20" applyFont="1" applyFill="1" applyBorder="1" applyNumberFormat="1">
      <alignment horizontal="right" vertical="center" wrapText="1"/>
    </xf>
    <xf numFmtId="437" fontId="27" fillId="37" borderId="23" applyFont="1" applyFill="1" applyBorder="1" applyNumberFormat="1">
      <alignment horizontal="right" vertical="center" wrapText="1"/>
    </xf>
    <xf numFmtId="4" fontId="27" fillId="38" borderId="34" applyFont="1" applyFill="1" applyBorder="1" applyNumberFormat="1">
      <alignment horizontal="right" vertical="center" wrapText="1"/>
      <protection locked="0"/>
    </xf>
    <xf numFmtId="4" fontId="27" fillId="38" borderId="30" applyFont="1" applyFill="1" applyBorder="1" applyNumberFormat="1">
      <alignment horizontal="right" vertical="center" wrapText="1"/>
      <protection locked="0"/>
    </xf>
    <xf numFmtId="0" fontId="44" fillId="0" borderId="42" applyFont="1" applyFill="0" applyBorder="1">
      <alignment horizontal="left" vertical="center" wrapText="1" indent="1"/>
    </xf>
    <xf numFmtId="0" fontId="44" fillId="0" borderId="42" applyFont="1" applyFill="0" applyBorder="1">
      <alignment horizontal="center" vertical="center" wrapText="1"/>
    </xf>
    <xf numFmtId="0" fontId="44" fillId="0" borderId="32" applyFont="1" applyFill="0" applyBorder="1">
      <alignment vertical="center" wrapText="1"/>
    </xf>
    <xf numFmtId="49" fontId="27" fillId="41" borderId="33" applyFont="1" applyFill="1" applyBorder="1" applyNumberFormat="1">
      <alignment vertical="center" wrapText="1"/>
    </xf>
    <xf numFmtId="49" fontId="48" fillId="41" borderId="26" applyFont="1" applyFill="1" applyBorder="1" applyNumberFormat="1">
      <alignment horizontal="left" vertical="center" indent="1"/>
    </xf>
    <xf numFmtId="437" fontId="27" fillId="38" borderId="32" applyFont="1" applyFill="1" applyBorder="1" applyNumberFormat="1">
      <alignment horizontal="right" vertical="center" wrapText="1"/>
      <protection locked="0"/>
    </xf>
    <xf numFmtId="0" fontId="44" fillId="0" borderId="30" applyFont="1" applyFill="0" applyBorder="1">
      <alignment horizontal="left" vertical="center" wrapText="1" indent="1"/>
    </xf>
    <xf numFmtId="0" fontId="44" fillId="0" borderId="32" applyFont="1" applyFill="0" applyBorder="1">
      <alignment horizontal="left" vertical="center" wrapText="1" indent="1"/>
    </xf>
    <xf numFmtId="49" fontId="33" fillId="0" borderId="0" applyFont="1" applyFill="0" applyBorder="0" applyNumberFormat="1">
      <alignment horizontal="center" vertical="center" wrapText="1"/>
    </xf>
    <xf numFmtId="0" fontId="67" fillId="0" borderId="0" applyFont="1" applyFill="0" applyBorder="0">
      <alignment vertical="center" wrapText="1"/>
    </xf>
    <xf numFmtId="0" fontId="27" fillId="0" borderId="45" applyFont="1" applyFill="0" applyBorder="1">
      <alignment vertical="center" wrapText="1"/>
    </xf>
    <xf numFmtId="0" fontId="84" fillId="39" borderId="0" applyFont="1" applyFill="1" applyBorder="0">
      <alignment horizontal="right" vertical="center"/>
    </xf>
    <xf numFmtId="49" fontId="44" fillId="0" borderId="32" applyFont="1" applyFill="0" applyBorder="1" applyNumberFormat="1">
      <alignment horizontal="center" vertical="center" wrapText="1"/>
    </xf>
    <xf numFmtId="49" fontId="44" fillId="0" borderId="42" applyFont="1" applyFill="0" applyBorder="1" applyNumberFormat="1">
      <alignment horizontal="center" vertical="center" wrapText="1"/>
    </xf>
    <xf numFmtId="49" fontId="44" fillId="0" borderId="30" applyFont="1" applyFill="0" applyBorder="1" applyNumberFormat="1">
      <alignment horizontal="center" vertical="center" wrapText="1"/>
    </xf>
    <xf numFmtId="49" fontId="48" fillId="0" borderId="26" applyFont="1" applyFill="0" applyBorder="1" applyNumberFormat="1">
      <alignment horizontal="right" vertical="center"/>
    </xf>
    <xf numFmtId="49" fontId="28" fillId="0" borderId="0" applyFont="1" applyFill="0" applyBorder="0" applyNumberFormat="1">
      <alignment horizontal="center" vertical="center" wrapText="1"/>
    </xf>
    <xf numFmtId="0" fontId="44" fillId="0" borderId="21" applyFont="1" applyFill="0" applyBorder="1">
      <alignment vertical="center" wrapText="1"/>
    </xf>
    <xf numFmtId="0" fontId="44" fillId="0" borderId="25" applyFont="1" applyFill="0" applyBorder="1">
      <alignment horizontal="right" vertical="center" wrapText="1" indent="1"/>
    </xf>
    <xf numFmtId="0" fontId="44" fillId="0" borderId="20" applyFont="1" applyFill="0" applyBorder="1">
      <alignment horizontal="right" vertical="center" wrapText="1" indent="1"/>
    </xf>
    <xf numFmtId="0" fontId="44" fillId="0" borderId="21" applyFont="1" applyFill="0" applyBorder="1">
      <alignment horizontal="left" vertical="top" wrapText="1"/>
    </xf>
    <xf numFmtId="49" fontId="27" fillId="0" borderId="66" applyFont="1" applyFill="0" applyBorder="1" applyNumberFormat="1">
      <alignment horizontal="center" vertical="center" wrapText="1"/>
    </xf>
    <xf numFmtId="0" fontId="89" fillId="0" borderId="0" applyFont="1" applyFill="0" applyBorder="0">
      <alignment vertical="center" wrapText="1"/>
    </xf>
    <xf numFmtId="49" fontId="27" fillId="0" borderId="67" applyFont="1" applyFill="0" applyBorder="1" applyNumberFormat="1">
      <alignment horizontal="center" vertical="center" wrapText="1"/>
    </xf>
    <xf numFmtId="49" fontId="27" fillId="0" borderId="68" applyFont="1" applyFill="0" applyBorder="1" applyNumberFormat="1">
      <alignment horizontal="center" vertical="center" wrapText="1"/>
    </xf>
    <xf numFmtId="4" fontId="27" fillId="38" borderId="32" applyFont="1" applyFill="1" applyBorder="1" applyNumberFormat="1">
      <alignment horizontal="right" vertical="center" wrapText="1"/>
      <protection locked="0"/>
    </xf>
    <xf numFmtId="49" fontId="48" fillId="41" borderId="26" applyFont="1" applyFill="1" applyBorder="1" applyNumberFormat="1">
      <alignment horizontal="left" vertical="center" indent="2"/>
    </xf>
    <xf numFmtId="49" fontId="23" fillId="0" borderId="23" applyFont="1" applyFill="0" applyBorder="1" applyNumberFormat="1">
      <alignment horizontal="left" vertical="center" wrapText="1" indent="2"/>
    </xf>
    <xf numFmtId="49" fontId="27" fillId="0" borderId="69" applyFont="1" applyFill="0" applyBorder="1" applyNumberFormat="1">
      <alignment horizontal="center" vertical="center" wrapText="1"/>
    </xf>
    <xf numFmtId="0" fontId="44" fillId="0" borderId="45" applyFont="1" applyFill="0" applyBorder="1">
      <alignment vertical="center" wrapText="1"/>
    </xf>
    <xf numFmtId="0" fontId="27" fillId="37" borderId="20" applyFont="1" applyFill="1" applyBorder="1">
      <alignment horizontal="left" vertical="top" wrapText="1"/>
    </xf>
    <xf numFmtId="49" fontId="27" fillId="52" borderId="0" applyFont="1" applyFill="1" applyBorder="0" applyNumberFormat="1">
      <alignment horizontal="center" vertical="center" textRotation="90" wrapText="1"/>
    </xf>
    <xf numFmtId="49" fontId="36" fillId="35" borderId="21" applyFont="1" applyFill="1" applyBorder="1" applyNumberFormat="1">
      <alignment horizontal="left" vertical="center" wrapText="1"/>
      <protection locked="0"/>
    </xf>
    <xf numFmtId="0" fontId="90" fillId="0" borderId="28" applyFont="1" applyFill="0" applyBorder="1">
      <alignment vertical="center" wrapText="1"/>
    </xf>
    <xf numFmtId="4" fontId="27" fillId="35" borderId="23" applyFont="1" applyFill="1" applyBorder="1" applyNumberFormat="1">
      <alignment horizontal="left" vertical="center" wrapText="1"/>
      <protection locked="0"/>
    </xf>
    <xf numFmtId="4" fontId="27" fillId="35" borderId="21" applyFont="1" applyFill="1" applyBorder="1" applyNumberFormat="1">
      <alignment horizontal="left" vertical="center" wrapText="1"/>
      <protection locked="0"/>
    </xf>
    <xf numFmtId="49" fontId="36" fillId="0" borderId="23" applyFont="1" applyFill="0" applyBorder="1" applyNumberFormat="1">
      <alignment horizontal="left" vertical="center" wrapText="1"/>
    </xf>
    <xf numFmtId="49" fontId="27" fillId="0" borderId="52" applyFont="1" applyFill="0" applyBorder="1" applyNumberFormat="1">
      <alignment horizontal="center" vertical="center" wrapText="1"/>
    </xf>
    <xf numFmtId="0" fontId="27" fillId="0" borderId="52" applyFont="1" applyFill="0" applyBorder="1">
      <alignment horizontal="left" vertical="center" wrapText="1"/>
    </xf>
    <xf numFmtId="4" fontId="27" fillId="0" borderId="70" applyFont="1" applyFill="0" applyBorder="1" applyNumberFormat="1">
      <alignment horizontal="center" vertical="center" wrapText="1"/>
    </xf>
    <xf numFmtId="49" fontId="36" fillId="0" borderId="35" applyFont="1" applyFill="0" applyBorder="1" applyNumberFormat="1">
      <alignment horizontal="left" vertical="center" wrapText="1"/>
    </xf>
    <xf numFmtId="49" fontId="27" fillId="0" borderId="49" applyFont="1" applyFill="0" applyBorder="1" applyNumberFormat="1">
      <alignment horizontal="center" vertical="center" wrapText="1"/>
    </xf>
    <xf numFmtId="0" fontId="27" fillId="0" borderId="54" applyFont="1" applyFill="0" applyBorder="1">
      <alignment horizontal="left" vertical="center" wrapText="1" indent="1"/>
    </xf>
    <xf numFmtId="49" fontId="36" fillId="0" borderId="21" applyFont="1" applyFill="0" applyBorder="1" applyNumberFormat="1">
      <alignment horizontal="left" vertical="center" wrapText="1"/>
    </xf>
    <xf numFmtId="4" fontId="27" fillId="0" borderId="32" applyFont="1" applyFill="0" applyBorder="1" applyNumberFormat="1">
      <alignment horizontal="center" vertical="center" wrapText="1"/>
    </xf>
    <xf numFmtId="4" fontId="27" fillId="38" borderId="71" applyFont="1" applyFill="1" applyBorder="1" applyNumberFormat="1">
      <alignment horizontal="right" vertical="center" wrapText="1"/>
      <protection locked="0"/>
    </xf>
    <xf numFmtId="0" fontId="27" fillId="0" borderId="54" applyFont="1" applyFill="0" applyBorder="1">
      <alignment horizontal="left" vertical="center" wrapText="1"/>
    </xf>
    <xf numFmtId="49" fontId="36" fillId="0" borderId="25" applyFont="1" applyFill="0" applyBorder="1" applyNumberFormat="1">
      <alignment horizontal="left" vertical="center" wrapText="1"/>
    </xf>
    <xf numFmtId="0" fontId="27" fillId="0" borderId="49" applyFont="1" applyFill="0" applyBorder="1">
      <alignment horizontal="left" vertical="center" wrapText="1" indent="1"/>
    </xf>
    <xf numFmtId="4" fontId="27" fillId="0" borderId="52" applyFont="1" applyFill="0" applyBorder="1" applyNumberFormat="1">
      <alignment horizontal="center" vertical="center" wrapText="1"/>
    </xf>
    <xf numFmtId="0" fontId="27" fillId="0" borderId="49" applyFont="1" applyFill="0" applyBorder="1">
      <alignment horizontal="left" vertical="center" wrapText="1"/>
    </xf>
    <xf numFmtId="0" fontId="27" fillId="0" borderId="49" applyFont="1" applyFill="0" applyBorder="1">
      <alignment horizontal="left" vertical="center" wrapText="1" indent="2"/>
    </xf>
    <xf numFmtId="4" fontId="27" fillId="0" borderId="49" applyFont="1" applyFill="0" applyBorder="1" applyNumberFormat="1">
      <alignment horizontal="center" vertical="center" wrapText="1"/>
    </xf>
    <xf numFmtId="49" fontId="27" fillId="0" borderId="53" applyFont="1" applyFill="0" applyBorder="1" applyNumberFormat="1">
      <alignment horizontal="center" vertical="center" wrapText="1"/>
    </xf>
    <xf numFmtId="0" fontId="27" fillId="0" borderId="71" applyFont="1" applyFill="0" applyBorder="1">
      <alignment horizontal="left" vertical="center" wrapText="1"/>
    </xf>
    <xf numFmtId="4" fontId="27" fillId="0" borderId="71" applyFont="1" applyFill="0" applyBorder="1" applyNumberFormat="1">
      <alignment horizontal="center" vertical="center" wrapText="1"/>
    </xf>
    <xf numFmtId="49" fontId="36" fillId="0" borderId="33" applyFont="1" applyFill="0" applyBorder="1" applyNumberFormat="1">
      <alignment horizontal="left" vertical="center" wrapText="1"/>
    </xf>
    <xf numFmtId="49" fontId="27" fillId="0" borderId="54" applyFont="1" applyFill="0" applyBorder="1" applyNumberFormat="1">
      <alignment horizontal="center" vertical="center" wrapText="1"/>
    </xf>
    <xf numFmtId="4" fontId="27" fillId="38" borderId="21" applyFont="1" applyFill="1" applyBorder="1" applyNumberFormat="1">
      <alignment horizontal="right" vertical="center" wrapText="1"/>
      <protection locked="0"/>
    </xf>
    <xf numFmtId="4" fontId="27" fillId="0" borderId="54" applyFont="1" applyFill="0" applyBorder="1" applyNumberFormat="1">
      <alignment horizontal="center" vertical="center" wrapText="1"/>
    </xf>
    <xf numFmtId="4" fontId="27" fillId="38" borderId="53" applyFont="1" applyFill="1" applyBorder="1" applyNumberFormat="1">
      <alignment horizontal="right" vertical="center" wrapText="1"/>
      <protection locked="0"/>
    </xf>
    <xf numFmtId="0" fontId="37" fillId="53" borderId="23" applyFont="1" applyFill="1" applyBorder="1">
      <alignment horizontal="left" vertical="center" wrapText="1"/>
    </xf>
    <xf numFmtId="0" fontId="27" fillId="49" borderId="23" applyFont="1" applyFill="1" applyBorder="1">
      <alignment vertical="center"/>
    </xf>
    <xf numFmtId="49" fontId="23" fillId="7" borderId="23" applyFont="1" applyFill="1" applyBorder="1" applyNumberFormat="1">
      <alignment horizontal="center" vertical="center" wrapText="1"/>
    </xf>
    <xf numFmtId="49" fontId="91" fillId="0" borderId="32" applyFont="1" applyFill="0" applyBorder="1" applyNumberFormat="1">
      <alignment horizontal="center" vertical="center" wrapText="1"/>
    </xf>
    <xf numFmtId="49" fontId="91" fillId="0" borderId="23" applyFont="1" applyFill="0" applyBorder="1" applyNumberFormat="1">
      <alignment horizontal="center" vertical="center" wrapText="1"/>
    </xf>
    <xf numFmtId="0" fontId="27" fillId="0" borderId="26" applyFont="1" applyFill="0" applyBorder="1">
      <alignment horizontal="right" vertical="center" wrapText="1" indent="1"/>
    </xf>
    <xf numFmtId="4" fontId="27" fillId="38" borderId="33" applyFont="1" applyFill="1" applyBorder="1" applyNumberFormat="1">
      <alignment horizontal="right" vertical="center" wrapText="1"/>
      <protection locked="0"/>
    </xf>
    <xf numFmtId="0" fontId="37" fillId="41" borderId="25" applyFont="1" applyFill="1" applyBorder="1">
      <alignment vertical="center" wrapText="1"/>
    </xf>
    <xf numFmtId="3" fontId="27" fillId="38" borderId="21" applyFont="1" applyFill="1" applyBorder="1" applyNumberFormat="1">
      <alignment horizontal="right" vertical="center" wrapText="1"/>
      <protection locked="0"/>
    </xf>
    <xf numFmtId="0" fontId="27" fillId="39" borderId="27" applyFont="1" applyFill="1" applyBorder="1">
      <alignment horizontal="center" vertical="center" wrapText="1"/>
    </xf>
    <xf numFmtId="0" fontId="23" fillId="39" borderId="32" applyFont="1" applyFill="1" applyBorder="1">
      <alignment horizontal="center" vertical="center" wrapText="1"/>
    </xf>
    <xf numFmtId="49" fontId="27" fillId="0" borderId="21" applyFont="1" applyFill="0" applyBorder="1" applyNumberFormat="1">
      <alignment horizontal="center" vertical="center" wrapText="1"/>
    </xf>
    <xf numFmtId="0" fontId="27" fillId="41" borderId="34" applyFont="1" applyFill="1" applyBorder="1">
      <alignment vertical="center" wrapText="1"/>
    </xf>
    <xf numFmtId="0" fontId="27" fillId="39" borderId="19" applyFont="1" applyFill="1" applyBorder="1">
      <alignment vertical="center" wrapText="1"/>
    </xf>
    <xf numFmtId="49" fontId="57" fillId="0" borderId="19" applyFont="1" applyFill="0" applyBorder="1" applyNumberFormat="1">
      <alignment vertical="top"/>
    </xf>
    <xf numFmtId="0" fontId="31" fillId="39" borderId="19" applyFont="1" applyFill="1" applyBorder="1">
      <alignment horizontal="center" wrapText="1"/>
    </xf>
    <xf numFmtId="0" fontId="27" fillId="0" borderId="15" applyFont="1" applyFill="0" applyBorder="1">
      <alignment horizontal="center" vertical="center"/>
    </xf>
    <xf numFmtId="0" fontId="27" fillId="0" borderId="16" applyFont="1" applyFill="0" applyBorder="1">
      <alignment horizontal="center" vertical="center"/>
    </xf>
    <xf numFmtId="0" fontId="27" fillId="0" borderId="17" applyFont="1" applyFill="0" applyBorder="1">
      <alignment horizontal="center" vertical="center"/>
    </xf>
    <xf numFmtId="0" fontId="27" fillId="0" borderId="13" applyFont="1" applyFill="0" applyBorder="1">
      <alignment vertical="center" wrapText="1"/>
    </xf>
    <xf numFmtId="0" fontId="27" fillId="39" borderId="26" applyFont="1" applyFill="1" applyBorder="1">
      <alignment vertical="center" wrapText="1"/>
    </xf>
    <xf numFmtId="0" fontId="44" fillId="0" borderId="19" applyFont="1" applyFill="0" applyBorder="1">
      <alignment vertical="center" wrapText="1"/>
    </xf>
    <xf numFmtId="0" fontId="27" fillId="0" borderId="72" applyFont="1" applyFill="0" applyBorder="1">
      <alignment horizontal="center" vertical="center"/>
    </xf>
    <xf numFmtId="0" fontId="27" fillId="0" borderId="44" applyFont="1" applyFill="0" applyBorder="1">
      <alignment horizontal="center" vertical="center"/>
    </xf>
    <xf numFmtId="0" fontId="27" fillId="0" borderId="13" applyFont="1" applyFill="0" applyBorder="1">
      <alignment vertical="center"/>
    </xf>
    <xf numFmtId="49" fontId="23" fillId="0" borderId="32" applyFont="1" applyFill="0" applyBorder="1" applyNumberFormat="1">
      <alignment horizontal="center" vertical="center" wrapText="1"/>
    </xf>
    <xf numFmtId="49" fontId="27" fillId="0" borderId="28" applyFont="1" applyFill="0" applyBorder="1" applyNumberFormat="1">
      <alignment vertical="top"/>
    </xf>
    <xf numFmtId="49" fontId="23" fillId="0" borderId="42" applyFont="1" applyFill="0" applyBorder="1" applyNumberFormat="1">
      <alignment horizontal="center" vertical="center" wrapText="1"/>
    </xf>
    <xf numFmtId="49" fontId="23" fillId="0" borderId="30" applyFont="1" applyFill="0" applyBorder="1" applyNumberFormat="1">
      <alignment horizontal="center" vertical="center" wrapText="1"/>
    </xf>
    <xf numFmtId="49" fontId="23" fillId="37" borderId="23" applyFont="1" applyFill="1" applyBorder="1" applyNumberFormat="1">
      <alignment horizontal="center" vertical="center"/>
    </xf>
    <xf numFmtId="4" fontId="23" fillId="35" borderId="23" applyFont="1" applyFill="1" applyBorder="1" applyNumberFormat="1">
      <alignment horizontal="right" vertical="center" wrapText="1"/>
      <protection locked="0"/>
    </xf>
    <xf numFmtId="49" fontId="23" fillId="0" borderId="23" applyFont="1" applyFill="0" applyBorder="1" applyNumberFormat="1">
      <alignment horizontal="left" vertical="center" wrapText="1" indent="3"/>
    </xf>
    <xf numFmtId="49" fontId="49" fillId="0" borderId="0" applyFont="1" applyFill="0" applyBorder="0" applyNumberFormat="1">
      <alignment vertical="center"/>
    </xf>
    <xf numFmtId="49" fontId="49" fillId="0" borderId="0" applyFont="1" applyFill="0" applyBorder="0" applyNumberFormat="1">
      <alignment vertical="center" wrapText="1"/>
    </xf>
    <xf numFmtId="49" fontId="27" fillId="39" borderId="0" applyFont="1" applyFill="1" applyBorder="0" applyNumberFormat="1">
      <alignment horizontal="center" vertical="top" wrapText="1"/>
    </xf>
    <xf numFmtId="0" fontId="27" fillId="0" borderId="27" applyFont="1" applyFill="0" applyBorder="1">
      <alignment horizontal="left" vertical="top" wrapText="1"/>
    </xf>
    <xf numFmtId="49" fontId="27" fillId="0" borderId="0" applyFont="1" applyFill="0" applyBorder="0" applyNumberFormat="1">
      <alignment horizontal="center" vertical="top" wrapText="1"/>
    </xf>
    <xf numFmtId="49" fontId="27" fillId="0" borderId="0" applyFont="1" applyFill="0" applyBorder="0" applyNumberFormat="1">
      <alignment horizontal="center" vertical="center" wrapText="1"/>
    </xf>
    <xf numFmtId="49" fontId="49" fillId="0" borderId="0" applyFont="1" applyFill="0" applyBorder="0" applyNumberFormat="1">
      <alignment horizontal="center" vertical="center" wrapText="1"/>
    </xf>
    <xf numFmtId="0" fontId="27" fillId="45" borderId="21" applyFont="1" applyFill="1" applyBorder="1">
      <alignment horizontal="center" vertical="center" wrapText="1"/>
    </xf>
    <xf numFmtId="0" fontId="27" fillId="45" borderId="25" applyFont="1" applyFill="1" applyBorder="1">
      <alignment horizontal="center" vertical="center" wrapText="1"/>
    </xf>
    <xf numFmtId="0" fontId="27" fillId="45" borderId="20" applyFont="1" applyFill="1" applyBorder="1">
      <alignment horizontal="center" vertical="center" wrapText="1"/>
    </xf>
    <xf numFmtId="49" fontId="37" fillId="44" borderId="21" applyFont="1" applyFill="1" applyBorder="1" applyNumberFormat="1">
      <alignment horizontal="center" vertical="center" wrapText="1"/>
    </xf>
    <xf numFmtId="49" fontId="37" fillId="44" borderId="25" applyFont="1" applyFill="1" applyBorder="1" applyNumberFormat="1">
      <alignment horizontal="center" vertical="center" wrapText="1"/>
    </xf>
    <xf numFmtId="49" fontId="37" fillId="44" borderId="20" applyFont="1" applyFill="1" applyBorder="1" applyNumberFormat="1">
      <alignment horizontal="center" vertical="center" wrapText="1"/>
    </xf>
    <xf numFmtId="49" fontId="37" fillId="46" borderId="21" applyFont="1" applyFill="1" applyBorder="1" applyNumberFormat="1">
      <alignment horizontal="center" vertical="center" wrapText="1"/>
    </xf>
    <xf numFmtId="49" fontId="37" fillId="46" borderId="25" applyFont="1" applyFill="1" applyBorder="1" applyNumberFormat="1">
      <alignment horizontal="center" vertical="center" wrapText="1"/>
    </xf>
    <xf numFmtId="49" fontId="37" fillId="46" borderId="20" applyFont="1" applyFill="1" applyBorder="1" applyNumberFormat="1">
      <alignment horizontal="center" vertical="center" wrapText="1"/>
    </xf>
    <xf numFmtId="49" fontId="27" fillId="47" borderId="21" applyFont="1" applyFill="1" applyBorder="1" applyNumberFormat="1">
      <alignment horizontal="center" vertical="center" wrapText="1"/>
    </xf>
    <xf numFmtId="49" fontId="27" fillId="47" borderId="25" applyFont="1" applyFill="1" applyBorder="1" applyNumberFormat="1">
      <alignment horizontal="center" vertical="center" wrapText="1"/>
    </xf>
    <xf numFmtId="49" fontId="27" fillId="43" borderId="26" applyFont="1" applyFill="1" applyBorder="1" applyNumberFormat="1">
      <alignment horizontal="center" vertical="center" wrapText="1"/>
    </xf>
    <xf numFmtId="49" fontId="27" fillId="43" borderId="0" applyFont="1" applyFill="1" applyBorder="0" applyNumberFormat="1">
      <alignment horizontal="center" vertical="center" wrapText="1"/>
    </xf>
    <xf numFmtId="49" fontId="27" fillId="0" borderId="25" applyFont="1" applyFill="0" applyBorder="1" applyNumberFormat="1">
      <alignment horizontal="center" vertical="center" wrapText="1"/>
    </xf>
    <xf numFmtId="49" fontId="49" fillId="39" borderId="0" applyFont="1" applyFill="1" applyBorder="0" applyNumberFormat="1">
      <alignment vertical="center" wrapText="1"/>
    </xf>
    <xf numFmtId="49" fontId="27" fillId="43" borderId="23" applyFont="1" applyFill="1" applyBorder="1" applyNumberFormat="1">
      <alignment horizontal="center" vertical="center" wrapText="1"/>
    </xf>
    <xf numFmtId="0" fontId="27" fillId="43" borderId="23" applyFont="1" applyFill="1" applyBorder="1">
      <alignment horizontal="center" vertical="center" wrapText="1"/>
    </xf>
    <xf numFmtId="0" fontId="27" fillId="43" borderId="21" applyFont="1" applyFill="1" applyBorder="1">
      <alignment horizontal="center" vertical="center" wrapText="1"/>
    </xf>
    <xf numFmtId="0" fontId="27" fillId="43" borderId="20" applyFont="1" applyFill="1" applyBorder="1">
      <alignment horizontal="center" vertical="center" wrapText="1"/>
    </xf>
    <xf numFmtId="49" fontId="27" fillId="43" borderId="45" applyFont="1" applyFill="1" applyBorder="1" applyNumberFormat="1">
      <alignment horizontal="center" vertical="center" wrapText="1"/>
    </xf>
    <xf numFmtId="49" fontId="47" fillId="0" borderId="23" applyFont="1" applyFill="0" applyBorder="1" applyNumberFormat="1">
      <alignment horizontal="center" vertical="center"/>
    </xf>
    <xf numFmtId="49" fontId="47" fillId="43" borderId="23" applyFont="1" applyFill="1" applyBorder="1" applyNumberFormat="1">
      <alignment horizontal="center" vertical="center"/>
    </xf>
    <xf numFmtId="0" fontId="47" fillId="0" borderId="23" applyFont="1" applyFill="0" applyBorder="1">
      <alignment horizontal="center" vertical="center"/>
    </xf>
    <xf numFmtId="49" fontId="47" fillId="0" borderId="30" applyFont="1" applyFill="0" applyBorder="1" applyNumberFormat="1">
      <alignment horizontal="center" vertical="center"/>
    </xf>
    <xf numFmtId="49" fontId="37" fillId="0" borderId="32" applyFont="1" applyFill="0" applyBorder="1" applyNumberFormat="1">
      <alignment horizontal="center" vertical="center"/>
    </xf>
    <xf numFmtId="0" fontId="27" fillId="0" borderId="32" applyFont="1" applyFill="0" applyBorder="1">
      <alignment horizontal="right" vertical="center"/>
    </xf>
    <xf numFmtId="0" fontId="27" fillId="0" borderId="32" applyFont="1" applyFill="0" applyBorder="1">
      <alignment horizontal="center" vertical="center"/>
    </xf>
    <xf numFmtId="4" fontId="49" fillId="39" borderId="0" applyFont="1" applyFill="1" applyBorder="0" applyNumberFormat="1">
      <alignment vertical="center"/>
    </xf>
    <xf numFmtId="49" fontId="92" fillId="0" borderId="0" applyFont="1" applyFill="0" applyBorder="0" applyNumberFormat="1">
      <alignment vertical="center" wrapText="1"/>
    </xf>
    <xf numFmtId="0" fontId="93" fillId="39" borderId="0" applyFont="1" applyFill="1" applyBorder="0">
      <alignment horizontal="center" vertical="center" wrapText="1"/>
    </xf>
    <xf numFmtId="0" fontId="28" fillId="39" borderId="0" applyFont="1" applyFill="1" applyBorder="0"/>
    <xf numFmtId="49" fontId="27" fillId="0" borderId="0" applyFont="1" applyFill="0" applyBorder="0" applyNumberFormat="1">
      <alignment horizontal="left" vertical="top" wrapText="1"/>
    </xf>
    <xf numFmtId="49" fontId="50" fillId="0" borderId="0" applyFont="1" applyFill="0" applyBorder="0" applyNumberFormat="1">
      <alignment horizontal="center" vertical="center"/>
    </xf>
    <xf numFmtId="0" fontId="27" fillId="0" borderId="0" applyFont="1" applyFill="0" applyBorder="0"/>
    <xf numFmtId="0" fontId="50" fillId="39" borderId="0" applyFont="1" applyFill="1" applyBorder="0">
      <alignment horizontal="center" vertical="center"/>
    </xf>
    <xf numFmtId="0" fontId="27" fillId="39" borderId="32" applyFont="1" applyFill="1" applyBorder="1">
      <alignment horizontal="center" vertical="center"/>
    </xf>
    <xf numFmtId="49" fontId="48" fillId="41" borderId="20" applyFont="1" applyFill="1" applyBorder="1" applyNumberFormat="1">
      <alignment horizontal="left" vertical="center"/>
    </xf>
    <xf numFmtId="0" fontId="50" fillId="0" borderId="0" applyFont="1" applyFill="0" applyBorder="0">
      <alignment horizontal="center" vertical="center"/>
    </xf>
    <xf numFmtId="49" fontId="27" fillId="39" borderId="23" applyFont="1" applyFill="1" applyBorder="1" applyNumberFormat="1">
      <alignment horizontal="center" vertical="center"/>
    </xf>
    <xf numFmtId="0" fontId="37" fillId="39" borderId="0" applyFont="1" applyFill="1" applyBorder="0"/>
    <xf numFmtId="0" fontId="94" fillId="39" borderId="0" applyFont="1" applyFill="1" applyBorder="0"/>
    <xf numFmtId="0" fontId="44" fillId="39" borderId="0" applyFont="1" applyFill="1" applyBorder="0">
      <alignment horizontal="center" vertical="center" wrapText="1"/>
    </xf>
    <xf numFmtId="0" fontId="23" fillId="39" borderId="32" applyFont="1" applyFill="1" applyBorder="1">
      <alignment horizontal="left" vertical="top" wrapText="1"/>
    </xf>
    <xf numFmtId="0" fontId="55" fillId="39" borderId="0" applyFont="1" applyFill="1" applyBorder="0">
      <alignment vertical="center" wrapText="1"/>
    </xf>
    <xf numFmtId="0" fontId="44" fillId="39" borderId="23" applyFont="1" applyFill="1" applyBorder="1">
      <alignment horizontal="center" vertical="center"/>
    </xf>
    <xf numFmtId="0" fontId="23" fillId="39" borderId="42" applyFont="1" applyFill="1" applyBorder="1">
      <alignment horizontal="left" vertical="top" wrapText="1"/>
    </xf>
    <xf numFmtId="0" fontId="56" fillId="39" borderId="0" applyFont="1" applyFill="1" applyBorder="0"/>
    <xf numFmtId="0" fontId="23" fillId="39" borderId="30" applyFont="1" applyFill="1" applyBorder="1">
      <alignment horizontal="left" vertical="top" wrapText="1"/>
    </xf>
    <xf numFmtId="0" fontId="89" fillId="39" borderId="0" applyFont="1" applyFill="1" applyBorder="0"/>
    <xf numFmtId="0" fontId="27" fillId="39" borderId="23" applyFont="1" applyFill="1" applyBorder="1">
      <alignment horizontal="left" vertical="top" wrapText="1"/>
    </xf>
    <xf numFmtId="49" fontId="36" fillId="35" borderId="30" applyFont="1" applyFill="1" applyBorder="1" applyNumberFormat="1">
      <alignment horizontal="left" vertical="center" wrapText="1"/>
      <protection locked="0"/>
    </xf>
    <xf numFmtId="0" fontId="27" fillId="39" borderId="23" applyFont="1" applyFill="1" applyBorder="1">
      <alignment vertical="top" wrapText="1"/>
    </xf>
    <xf numFmtId="14" fontId="27" fillId="38" borderId="21" applyFont="1" applyFill="1" applyBorder="1" applyNumberFormat="1">
      <alignment horizontal="left" vertical="center" wrapText="1" indent="1"/>
      <protection locked="0"/>
    </xf>
    <xf numFmtId="0" fontId="37" fillId="0" borderId="42" applyFont="1" applyFill="0" applyBorder="1">
      <alignment horizontal="left" vertical="center" wrapText="1" indent="1"/>
    </xf>
    <xf numFmtId="435" fontId="27" fillId="0" borderId="33" applyFont="1" applyFill="0" applyBorder="1" applyNumberFormat="1">
      <alignment horizontal="center" vertical="center" wrapText="1"/>
    </xf>
    <xf numFmtId="435" fontId="27" fillId="0" borderId="32" applyFont="1" applyFill="0" applyBorder="1" applyNumberFormat="1">
      <alignment horizontal="center" vertical="center" wrapText="1"/>
    </xf>
    <xf numFmtId="4" fontId="27" fillId="0" borderId="30" applyFont="1" applyFill="0" applyBorder="1" applyNumberFormat="1">
      <alignment horizontal="center" vertical="center" wrapText="1"/>
    </xf>
    <xf numFmtId="14" fontId="27" fillId="40" borderId="23" applyFont="1" applyFill="1" applyBorder="1" applyNumberFormat="1">
      <alignment horizontal="left" vertical="center" wrapText="1"/>
    </xf>
    <xf numFmtId="14" fontId="27" fillId="38" borderId="23" applyFont="1" applyFill="1" applyBorder="1" applyNumberFormat="1">
      <alignment horizontal="left" vertical="center" wrapText="1" indent="1"/>
      <protection locked="0"/>
    </xf>
    <xf numFmtId="49" fontId="31" fillId="41" borderId="35" applyFont="1" applyFill="1" applyBorder="1" applyNumberFormat="1">
      <alignment horizontal="right" vertical="center" wrapText="1"/>
    </xf>
    <xf numFmtId="49" fontId="23" fillId="41" borderId="45" applyFont="1" applyFill="1" applyBorder="1" applyNumberFormat="1">
      <alignment horizontal="right" vertical="center" wrapText="1"/>
    </xf>
    <xf numFmtId="49" fontId="23" fillId="41" borderId="34" applyFont="1" applyFill="1" applyBorder="1" applyNumberFormat="1">
      <alignment horizontal="right" vertical="center" wrapText="1"/>
    </xf>
    <xf numFmtId="438" fontId="23" fillId="38" borderId="25" applyFont="1" applyFill="1" applyBorder="1" applyNumberFormat="1">
      <alignment horizontal="left" vertical="center" wrapText="1" indent="1"/>
      <protection locked="0"/>
    </xf>
    <xf numFmtId="439" fontId="27" fillId="38" borderId="23" applyFont="1" applyFill="1" applyBorder="1" applyNumberFormat="1">
      <alignment horizontal="left" vertical="center" wrapText="1" indent="1"/>
      <protection locked="0"/>
    </xf>
    <xf numFmtId="0" fontId="95" fillId="0" borderId="0" applyFont="1" applyFill="0" applyBorder="0">
      <alignment vertical="center"/>
    </xf>
    <xf numFmtId="438" fontId="44" fillId="0" borderId="0" applyFont="1" applyFill="0" applyBorder="0" applyNumberFormat="1">
      <alignment horizontal="center" vertical="center" wrapText="1"/>
    </xf>
    <xf numFmtId="435" fontId="27" fillId="0" borderId="25" applyFont="1" applyFill="0" applyBorder="1" applyNumberFormat="1">
      <alignment horizontal="center" vertical="center" wrapText="1"/>
    </xf>
    <xf numFmtId="435" fontId="27" fillId="0" borderId="20" applyFont="1" applyFill="0" applyBorder="1" applyNumberFormat="1">
      <alignment horizontal="center" vertical="center" wrapText="1"/>
    </xf>
    <xf numFmtId="4" fontId="27" fillId="0" borderId="42" applyFont="1" applyFill="0" applyBorder="1" applyNumberFormat="1">
      <alignment horizontal="center" vertical="center" wrapText="1"/>
    </xf>
    <xf numFmtId="435" fontId="27" fillId="0" borderId="30" applyFont="1" applyFill="0" applyBorder="1" applyNumberFormat="1">
      <alignment horizontal="center" vertical="center" wrapText="1"/>
    </xf>
    <xf numFmtId="0" fontId="27" fillId="37" borderId="30" applyFont="1" applyFill="1" applyBorder="1">
      <alignment horizontal="left" vertical="center" wrapText="1" indent="1"/>
    </xf>
    <xf numFmtId="14" fontId="27" fillId="38" borderId="30" applyFont="1" applyFill="1" applyBorder="1" applyNumberFormat="1">
      <alignment horizontal="left" vertical="center" wrapText="1" indent="1"/>
      <protection locked="0"/>
    </xf>
    <xf numFmtId="0" fontId="27" fillId="0" borderId="34" applyFont="1" applyFill="0" applyBorder="1">
      <alignment horizontal="left" vertical="top" wrapText="1"/>
    </xf>
    <xf numFmtId="14" fontId="27" fillId="0" borderId="30" applyFont="1" applyFill="0" applyBorder="1" applyNumberFormat="1">
      <alignment horizontal="left" vertical="center" wrapText="1" indent="1"/>
    </xf>
    <xf numFmtId="49" fontId="36" fillId="41" borderId="45" applyFont="1" applyFill="1" applyBorder="1" applyNumberFormat="1">
      <alignment horizontal="left" vertical="center" wrapText="1"/>
    </xf>
    <xf numFmtId="49" fontId="36" fillId="41" borderId="34" applyFont="1" applyFill="1" applyBorder="1" applyNumberFormat="1">
      <alignment horizontal="left" vertical="center" wrapText="1"/>
    </xf>
    <xf numFmtId="0" fontId="27" fillId="39" borderId="42" applyFont="1" applyFill="1" applyBorder="1">
      <alignment vertical="center" wrapText="1"/>
    </xf>
    <xf numFmtId="0" fontId="44" fillId="0" borderId="45" applyFont="1" applyFill="0" applyBorder="1">
      <alignment horizontal="center" vertical="center" wrapText="1"/>
    </xf>
    <xf numFmtId="0" fontId="27" fillId="39" borderId="28" applyFont="1" applyFill="1" applyBorder="1">
      <alignment vertical="center" wrapText="1"/>
    </xf>
    <xf numFmtId="0" fontId="27" fillId="0" borderId="25" applyFont="1" applyFill="0" applyBorder="1">
      <alignment horizontal="left" vertical="center" wrapText="1"/>
    </xf>
    <xf numFmtId="435" fontId="49" fillId="0" borderId="26" applyFont="1" applyFill="0" applyBorder="1" applyNumberFormat="1">
      <alignment horizontal="center" vertical="center" wrapText="1"/>
    </xf>
    <xf numFmtId="435" fontId="49" fillId="0" borderId="27" applyFont="1" applyFill="0" applyBorder="1" applyNumberFormat="1">
      <alignment horizontal="center" vertical="center" wrapText="1"/>
    </xf>
    <xf numFmtId="0" fontId="46" fillId="0" borderId="0" applyFont="1" applyFill="0" applyBorder="0">
      <alignment horizontal="center" vertical="center" wrapText="1"/>
    </xf>
    <xf numFmtId="435" fontId="27" fillId="0" borderId="42" applyFont="1" applyFill="0" applyBorder="1" applyNumberFormat="1">
      <alignment horizontal="center" vertical="center" wrapText="1"/>
    </xf>
    <xf numFmtId="0" fontId="27" fillId="37" borderId="34" applyFont="1" applyFill="1" applyBorder="1">
      <alignment horizontal="left" vertical="center" wrapText="1"/>
    </xf>
    <xf numFmtId="49" fontId="27" fillId="40" borderId="35" applyFont="1" applyFill="1" applyBorder="1" applyNumberFormat="1">
      <alignment horizontal="left" vertical="center" wrapText="1"/>
    </xf>
    <xf numFmtId="49" fontId="27" fillId="38" borderId="45" applyFont="1" applyFill="1" applyBorder="1" applyNumberFormat="1">
      <alignment horizontal="left" vertical="center" wrapText="1"/>
      <protection locked="0"/>
    </xf>
    <xf numFmtId="49" fontId="27" fillId="38" borderId="35" applyFont="1" applyFill="1" applyBorder="1" applyNumberFormat="1">
      <alignment horizontal="left" vertical="center" wrapText="1"/>
      <protection locked="0"/>
    </xf>
    <xf numFmtId="49" fontId="27" fillId="0" borderId="23" applyFont="1" applyFill="0" applyBorder="1" applyNumberFormat="1">
      <alignment horizontal="left" vertical="top" wrapText="1"/>
    </xf>
    <xf numFmtId="49" fontId="96" fillId="0" borderId="23" applyFont="1" applyFill="0" applyBorder="1" applyNumberFormat="1">
      <alignment horizontal="left" vertical="top" wrapText="1"/>
    </xf>
    <xf numFmtId="49" fontId="23" fillId="0" borderId="23" applyFont="1" applyFill="0" applyBorder="1" applyNumberFormat="1">
      <alignment horizontal="center" vertical="top"/>
    </xf>
    <xf numFmtId="49" fontId="23" fillId="0" borderId="21" applyFont="1" applyFill="0" applyBorder="1" applyNumberFormat="1">
      <alignment horizontal="center" vertical="top"/>
    </xf>
    <xf numFmtId="49" fontId="23" fillId="54" borderId="32" applyFont="1" applyFill="1" applyBorder="1" applyNumberFormat="1">
      <alignment vertical="top"/>
    </xf>
    <xf numFmtId="49" fontId="23" fillId="55" borderId="23" applyFont="1" applyFill="1" applyBorder="1" applyNumberFormat="1">
      <alignment vertical="top"/>
    </xf>
    <xf numFmtId="49" fontId="23" fillId="0" borderId="25" applyFont="1" applyFill="0" applyBorder="1" applyNumberFormat="1">
      <alignment horizontal="center" vertical="top"/>
    </xf>
    <xf numFmtId="49" fontId="23" fillId="3" borderId="23" applyFont="1" applyFill="1" applyBorder="1" applyNumberFormat="1">
      <alignment vertical="top"/>
    </xf>
    <xf numFmtId="49" fontId="23" fillId="56" borderId="23" applyFont="1" applyFill="1" applyBorder="1" applyNumberFormat="1">
      <alignment vertical="top"/>
    </xf>
    <xf numFmtId="49" fontId="23" fillId="16" borderId="32" applyFont="1" applyFill="1" applyBorder="1" applyNumberFormat="1">
      <alignment vertical="top"/>
    </xf>
    <xf numFmtId="49" fontId="23" fillId="5" borderId="21" applyFont="1" applyFill="1" applyBorder="1" applyNumberFormat="1">
      <alignment vertical="top"/>
    </xf>
    <xf numFmtId="49" fontId="23" fillId="5" borderId="23" applyFont="1" applyFill="1" applyBorder="1" applyNumberFormat="1">
      <alignment vertical="top"/>
    </xf>
    <xf numFmtId="49" fontId="23" fillId="16" borderId="23" applyFont="1" applyFill="1" applyBorder="1" applyNumberFormat="1">
      <alignment vertical="top"/>
    </xf>
    <xf numFmtId="49" fontId="23" fillId="39" borderId="0" applyFont="1" applyFill="1" applyBorder="0" applyNumberFormat="1">
      <alignment vertical="top"/>
    </xf>
    <xf numFmtId="49" fontId="27" fillId="37" borderId="50" applyFont="1" applyFill="1" applyBorder="1" applyNumberFormat="1">
      <alignment horizontal="center" vertical="top"/>
    </xf>
    <xf numFmtId="49" fontId="23" fillId="0" borderId="25" applyFont="1" applyFill="0" applyBorder="1" applyNumberFormat="1">
      <alignment horizontal="left" vertical="center" indent="1"/>
    </xf>
    <xf numFmtId="49" fontId="23" fillId="0" borderId="73" applyFont="1" applyFill="0" applyBorder="1" applyNumberFormat="1">
      <alignment horizontal="center" vertical="center"/>
    </xf>
    <xf numFmtId="0" fontId="23" fillId="0" borderId="0" applyFont="1" applyFill="0" applyBorder="0"/>
    <xf numFmtId="49" fontId="97" fillId="0" borderId="24" applyFont="1" applyFill="0" applyBorder="1" applyNumberFormat="1">
      <alignment vertical="top" wrapText="1"/>
    </xf>
    <xf numFmtId="0" fontId="23" fillId="0" borderId="24" applyFont="1" applyFill="0" applyBorder="1">
      <alignment vertical="top" wrapText="1"/>
    </xf>
    <xf numFmtId="0" fontId="21" fillId="0" borderId="74" applyFont="1" applyFill="0" applyBorder="1">
      <alignment vertical="top" wrapText="1"/>
    </xf>
    <xf numFmtId="0" fontId="23" fillId="0" borderId="23" applyFont="1" applyFill="0" applyBorder="1">
      <alignment vertical="top" wrapText="1"/>
    </xf>
    <xf numFmtId="49" fontId="23" fillId="0" borderId="32" applyFont="1" applyFill="0" applyBorder="1" applyNumberFormat="1">
      <alignment vertical="top"/>
    </xf>
    <xf numFmtId="0" fontId="31" fillId="0" borderId="24" applyFont="1" applyFill="0" applyBorder="1">
      <alignment vertical="center" wrapText="1"/>
    </xf>
    <xf numFmtId="0" fontId="21" fillId="0" borderId="0" applyFont="1" applyFill="0" applyBorder="0">
      <alignment vertical="top" wrapText="1"/>
    </xf>
    <xf numFmtId="0" fontId="27" fillId="0" borderId="24" applyFont="1" applyFill="0" applyBorder="1">
      <alignment vertical="center" wrapText="1"/>
    </xf>
  </cellStyleXfs>
  <cellXfs count="7979">
    <xf numFmtId="0" fontId="0" fillId="0" borderId="0" xfId="0" applyFont="1" applyNumberFormat="1">
      <alignment vertical="top"/>
    </xf>
    <xf numFmtId="0" fontId="0" fillId="0" borderId="0" xfId="0"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19" fillId="0" borderId="0" xfId="47" applyFont="1" applyNumberFormat="1">
      <alignment wrapText="1"/>
    </xf>
    <xf numFmtId="0" fontId="20" fillId="0" borderId="0" xfId="48" applyFont="1">
      <alignment vertical="center" wrapText="1"/>
    </xf>
    <xf numFmtId="0" fontId="20" fillId="0" borderId="0" xfId="49" applyFont="1">
      <alignment vertical="center"/>
    </xf>
    <xf numFmtId="0" fontId="21" fillId="33" borderId="10" xfId="50" applyFont="1" applyFill="1" applyBorder="1">
      <alignment horizontal="center" vertical="center" wrapText="1"/>
    </xf>
    <xf numFmtId="0" fontId="21" fillId="33" borderId="11" xfId="51" applyFont="1" applyFill="1" applyBorder="1">
      <alignment horizontal="center" vertical="center" wrapText="1"/>
    </xf>
    <xf numFmtId="0" fontId="21" fillId="33" borderId="12" xfId="52" applyFont="1" applyFill="1" applyBorder="1">
      <alignment horizontal="center" vertical="center" wrapText="1"/>
    </xf>
    <xf numFmtId="0" fontId="21" fillId="34" borderId="13" xfId="53" applyFont="1" applyFill="1" applyBorder="1">
      <alignment horizontal="right" vertical="center" wrapText="1" indent="1"/>
    </xf>
    <xf numFmtId="0" fontId="21" fillId="34" borderId="14" xfId="54" applyFont="1" applyFill="1" applyBorder="1">
      <alignment horizontal="right" vertical="center" wrapText="1" indent="1"/>
    </xf>
    <xf numFmtId="0" fontId="22" fillId="0" borderId="13" xfId="55" applyFont="1" applyBorder="1">
      <alignment wrapText="1"/>
    </xf>
    <xf numFmtId="0" fontId="23" fillId="35" borderId="15" xfId="56" applyFont="1" applyFill="1" applyBorder="1">
      <alignment horizontal="center" vertical="center" wrapText="1"/>
    </xf>
    <xf numFmtId="0" fontId="24" fillId="0" borderId="13" xfId="57" applyFont="1" applyBorder="1">
      <alignment vertical="center" wrapText="1"/>
    </xf>
    <xf numFmtId="0" fontId="23" fillId="36" borderId="15" xfId="58" applyFont="1" applyFill="1" applyBorder="1">
      <alignment horizontal="center" vertical="center" wrapText="1"/>
    </xf>
    <xf numFmtId="0" fontId="24" fillId="0" borderId="13" xfId="59" applyFont="1" applyBorder="1">
      <alignment horizontal="left" vertical="center" wrapText="1"/>
    </xf>
    <xf numFmtId="0" fontId="23" fillId="37" borderId="15" xfId="60" applyFont="1" applyFill="1" applyBorder="1">
      <alignment horizontal="center" vertical="center" wrapText="1"/>
    </xf>
    <xf numFmtId="0" fontId="23" fillId="38" borderId="15" xfId="61" applyFont="1" applyFill="1" applyBorder="1">
      <alignment horizontal="center" vertical="center" wrapText="1"/>
    </xf>
    <xf numFmtId="0" fontId="21" fillId="34" borderId="0" xfId="62" applyFont="1" applyFill="1">
      <alignment horizontal="right" vertical="center" wrapText="1" indent="1"/>
    </xf>
    <xf numFmtId="0" fontId="25" fillId="0" borderId="13" xfId="63" applyFont="1" applyBorder="1">
      <alignment horizontal="left" vertical="center" wrapText="1"/>
    </xf>
    <xf numFmtId="0" fontId="25" fillId="0" borderId="16" xfId="64" applyFont="1" applyBorder="1">
      <alignment horizontal="left" vertical="center" wrapText="1"/>
    </xf>
    <xf numFmtId="0" fontId="21" fillId="34" borderId="15" xfId="65" applyFont="1" applyFill="1" applyBorder="1">
      <alignment horizontal="right" vertical="center" wrapText="1" indent="1"/>
    </xf>
    <xf numFmtId="0" fontId="21" fillId="34" borderId="17" xfId="66" applyFont="1" applyFill="1" applyBorder="1">
      <alignment horizontal="right" vertical="center" wrapText="1" indent="1"/>
    </xf>
    <xf numFmtId="0" fontId="24" fillId="0" borderId="13" xfId="67" applyFont="1" applyBorder="1">
      <alignment wrapText="1"/>
    </xf>
    <xf numFmtId="0" fontId="24" fillId="0" borderId="0" xfId="68" applyFont="1">
      <alignment vertical="center" wrapText="1"/>
    </xf>
    <xf numFmtId="0" fontId="24" fillId="0" borderId="0" xfId="69" applyFont="1">
      <alignment vertical="top" wrapText="1"/>
    </xf>
    <xf numFmtId="0" fontId="21" fillId="34" borderId="18" xfId="70" applyFont="1" applyFill="1" applyBorder="1">
      <alignment horizontal="right" vertical="center" wrapText="1" indent="1"/>
    </xf>
    <xf numFmtId="0" fontId="21" fillId="34" borderId="19" xfId="71" applyFont="1" applyFill="1" applyBorder="1">
      <alignment horizontal="right" vertical="center" wrapText="1" indent="1"/>
    </xf>
    <xf numFmtId="0" fontId="22" fillId="0" borderId="18" xfId="72" applyFont="1" applyBorder="1">
      <alignment wrapText="1"/>
    </xf>
    <xf numFmtId="0" fontId="22" fillId="0" borderId="19" xfId="73" applyFont="1" applyBorder="1">
      <alignment wrapText="1"/>
    </xf>
    <xf numFmtId="0" fontId="22" fillId="0" borderId="19" xfId="74" applyFont="1" applyBorder="1">
      <alignment vertical="center" wrapText="1"/>
    </xf>
    <xf numFmtId="0" fontId="26" fillId="0" borderId="0" xfId="75" applyFont="1">
      <alignment vertical="center" wrapText="1"/>
    </xf>
    <xf numFmtId="0" fontId="27" fillId="0" borderId="0" xfId="76" applyFont="1">
      <alignment horizontal="left" vertical="top" indent="1"/>
    </xf>
    <xf numFmtId="0" fontId="28" fillId="0" borderId="0" xfId="77" applyFont="1">
      <alignment vertical="center" wrapText="1"/>
    </xf>
    <xf numFmtId="0" fontId="23" fillId="0" borderId="0" xfId="78" applyFont="1">
      <alignment horizontal="left" vertical="center" indent="1"/>
    </xf>
    <xf numFmtId="0" fontId="27" fillId="0" borderId="0" xfId="79" applyFont="1">
      <alignment vertical="center" wrapText="1"/>
    </xf>
    <xf numFmtId="0" fontId="29" fillId="39" borderId="0" xfId="80" applyFont="1" applyFill="1">
      <alignment vertical="center" wrapText="1"/>
    </xf>
    <xf numFmtId="0" fontId="29" fillId="0" borderId="0" xfId="81" applyFont="1">
      <alignment vertical="center" wrapText="1"/>
    </xf>
    <xf numFmtId="0" fontId="30" fillId="39" borderId="0" xfId="82" applyFont="1" applyFill="1">
      <alignment vertical="center" wrapText="1"/>
    </xf>
    <xf numFmtId="0" fontId="27" fillId="0" borderId="20" xfId="83" applyFont="1" applyBorder="1">
      <alignment horizontal="center" vertical="center" wrapText="1"/>
    </xf>
    <xf numFmtId="0" fontId="27" fillId="0" borderId="21" xfId="84" applyFont="1" applyBorder="1">
      <alignment horizontal="center" vertical="center" wrapText="1"/>
    </xf>
    <xf numFmtId="0" fontId="31" fillId="39" borderId="0" xfId="85" applyFont="1" applyFill="1">
      <alignment vertical="center" wrapText="1"/>
    </xf>
    <xf numFmtId="0" fontId="29" fillId="39" borderId="0" xfId="86" applyFont="1" applyFill="1">
      <alignment horizontal="right" vertical="center" wrapText="1" indent="1"/>
    </xf>
    <xf numFmtId="0" fontId="32" fillId="39" borderId="0" xfId="87" applyFont="1" applyFill="1">
      <alignment horizontal="center" vertical="center" wrapText="1"/>
    </xf>
    <xf numFmtId="0" fontId="27" fillId="39" borderId="22" xfId="88" applyFont="1" applyFill="1" applyBorder="1">
      <alignment horizontal="right" vertical="center" wrapText="1" indent="1"/>
    </xf>
    <xf numFmtId="0" fontId="23" fillId="37" borderId="23" xfId="89" applyFont="1" applyFill="1" applyBorder="1">
      <alignment horizontal="left" vertical="center" wrapText="1" indent="1"/>
    </xf>
    <xf numFmtId="14" fontId="33" fillId="39" borderId="0" xfId="90" applyFont="1" applyFill="1" applyNumberFormat="1">
      <alignment horizontal="left" vertical="center" wrapText="1"/>
    </xf>
    <xf numFmtId="0" fontId="34" fillId="39" borderId="0" xfId="91" applyFont="1" applyFill="1">
      <alignment horizontal="center" vertical="center" wrapText="1"/>
    </xf>
    <xf numFmtId="0" fontId="29" fillId="39" borderId="0" xfId="92" applyFont="1" applyFill="1">
      <alignment horizontal="left" vertical="center" wrapText="1" indent="1"/>
    </xf>
    <xf numFmtId="0" fontId="27" fillId="39" borderId="0" xfId="93" applyFont="1" applyFill="1">
      <alignment horizontal="center" vertical="center" wrapText="1"/>
    </xf>
    <xf numFmtId="0" fontId="27" fillId="38" borderId="23" xfId="94" applyFont="1" applyFill="1" applyBorder="1">
      <alignment horizontal="left" vertical="top" wrapText="1" indent="1"/>
      <protection locked="0"/>
    </xf>
    <xf numFmtId="0" fontId="27" fillId="0" borderId="0" xfId="95" applyFont="1">
      <alignment horizontal="left" vertical="center" wrapText="1"/>
    </xf>
    <xf numFmtId="49" fontId="27" fillId="40" borderId="23" xfId="96" applyFont="1" applyFill="1" applyBorder="1" applyNumberFormat="1">
      <alignment horizontal="left" vertical="center" wrapText="1" indent="1"/>
    </xf>
    <xf numFmtId="14" fontId="35" fillId="0" borderId="23" xfId="97" applyFont="1" applyBorder="1" applyNumberFormat="1">
      <alignment horizontal="center" vertical="center" wrapText="1"/>
    </xf>
    <xf numFmtId="438" fontId="23" fillId="38" borderId="23" xfId="98" applyFont="1" applyFill="1" applyBorder="1" applyNumberFormat="1">
      <alignment horizontal="left" vertical="center" wrapText="1" indent="1"/>
      <protection locked="0"/>
    </xf>
    <xf numFmtId="0" fontId="36" fillId="0" borderId="0" xfId="99" applyFont="1">
      <alignment horizontal="left" vertical="center" indent="1"/>
    </xf>
    <xf numFmtId="0" fontId="37" fillId="0" borderId="0" xfId="100" applyFont="1">
      <alignment vertical="center" wrapText="1"/>
    </xf>
    <xf numFmtId="0" fontId="27" fillId="39" borderId="0" xfId="101" applyFont="1" applyFill="1">
      <alignment vertical="center" wrapText="1"/>
    </xf>
    <xf numFmtId="14" fontId="35" fillId="0" borderId="23" xfId="102" applyFont="1" applyBorder="1" applyNumberFormat="1">
      <alignment horizontal="left" vertical="center" wrapText="1"/>
    </xf>
    <xf numFmtId="49" fontId="27" fillId="39" borderId="22" xfId="103" applyFont="1" applyFill="1" applyBorder="1" applyNumberFormat="1">
      <alignment horizontal="right" vertical="center" wrapText="1" indent="1"/>
    </xf>
    <xf numFmtId="49" fontId="37" fillId="0" borderId="0" xfId="104" applyFont="1" applyNumberFormat="1">
      <alignment vertical="center" wrapText="1"/>
    </xf>
    <xf numFmtId="0" fontId="23" fillId="38" borderId="23" xfId="105" applyFont="1" applyFill="1" applyBorder="1">
      <alignment horizontal="left" vertical="center" wrapText="1" indent="1"/>
      <protection locked="0"/>
    </xf>
    <xf numFmtId="49" fontId="27" fillId="38" borderId="23" xfId="106" applyFont="1" applyFill="1" applyBorder="1" applyNumberFormat="1">
      <alignment horizontal="left" vertical="center" wrapText="1" indent="1"/>
      <protection locked="0"/>
    </xf>
    <xf numFmtId="438" fontId="23" fillId="0" borderId="23" xfId="107" applyFont="1" applyBorder="1" applyNumberFormat="1">
      <alignment horizontal="left" vertical="center" wrapText="1" indent="1"/>
    </xf>
    <xf numFmtId="0" fontId="23" fillId="39" borderId="0" xfId="108" applyFont="1" applyFill="1">
      <alignment horizontal="right" vertical="center" wrapText="1" indent="1"/>
    </xf>
    <xf numFmtId="0" fontId="38" fillId="0" borderId="0" xfId="109" applyFont="1">
      <alignment horizontal="left" vertical="center" wrapText="1"/>
    </xf>
    <xf numFmtId="0" fontId="27" fillId="39" borderId="0" xfId="110" applyFont="1" applyFill="1">
      <alignment horizontal="right" vertical="center" wrapText="1" indent="1"/>
    </xf>
    <xf numFmtId="0" fontId="27" fillId="0" borderId="0" xfId="111" applyFont="1">
      <alignment horizontal="center" vertical="center" wrapText="1"/>
    </xf>
    <xf numFmtId="0" fontId="38" fillId="0" borderId="0" xfId="112" applyFont="1">
      <alignment vertical="center" wrapText="1"/>
    </xf>
    <xf numFmtId="0" fontId="23" fillId="39" borderId="0" xfId="113" applyFont="1" applyFill="1">
      <alignment horizontal="left" vertical="center" wrapText="1" indent="1"/>
    </xf>
    <xf numFmtId="49" fontId="27" fillId="0" borderId="23" xfId="114" applyFont="1" applyBorder="1" applyNumberFormat="1">
      <alignment horizontal="left" vertical="center" wrapText="1" indent="1"/>
    </xf>
    <xf numFmtId="0" fontId="39" fillId="39" borderId="0" xfId="115" applyFont="1" applyFill="1">
      <alignment horizontal="center" vertical="center" wrapText="1"/>
    </xf>
    <xf numFmtId="49" fontId="27" fillId="37" borderId="23" xfId="116" applyFont="1" applyFill="1" applyBorder="1" applyNumberFormat="1">
      <alignment horizontal="left" vertical="center" wrapText="1" indent="1"/>
    </xf>
    <xf numFmtId="14" fontId="27" fillId="39" borderId="0" xfId="117" applyFont="1" applyFill="1" applyNumberFormat="1">
      <alignment horizontal="center" vertical="center" wrapText="1"/>
    </xf>
    <xf numFmtId="0" fontId="23" fillId="39" borderId="22" xfId="118" applyFont="1" applyFill="1" applyBorder="1">
      <alignment horizontal="right" vertical="center" wrapText="1" indent="1"/>
    </xf>
    <xf numFmtId="14" fontId="27" fillId="39" borderId="0" xfId="119" applyFont="1" applyFill="1" applyNumberFormat="1">
      <alignment horizontal="left" vertical="center" wrapText="1"/>
    </xf>
    <xf numFmtId="0" fontId="27" fillId="38" borderId="23" xfId="120" applyFont="1" applyFill="1" applyBorder="1">
      <alignment horizontal="left" vertical="center" wrapText="1" indent="1"/>
      <protection locked="0"/>
    </xf>
    <xf numFmtId="0" fontId="40" fillId="39" borderId="0" xfId="121" applyFont="1" applyFill="1">
      <alignment horizontal="right" vertical="center" wrapText="1" indent="1"/>
    </xf>
    <xf numFmtId="0" fontId="40" fillId="39" borderId="0" xfId="122" applyFont="1" applyFill="1">
      <alignment horizontal="left" vertical="center" wrapText="1" indent="1"/>
    </xf>
    <xf numFmtId="49" fontId="41" fillId="0" borderId="23" xfId="123" applyFont="1" applyBorder="1" applyNumberFormat="1">
      <alignment horizontal="left" vertical="center" wrapText="1" indent="1"/>
    </xf>
    <xf numFmtId="0" fontId="27" fillId="40" borderId="23" xfId="124" applyFont="1" applyFill="1" applyBorder="1">
      <alignment horizontal="left" vertical="center" wrapText="1" indent="1"/>
    </xf>
    <xf numFmtId="438" fontId="23" fillId="38" borderId="24" xfId="125" applyFont="1" applyFill="1" applyBorder="1" applyNumberFormat="1">
      <alignment horizontal="left" vertical="center" wrapText="1" indent="1"/>
      <protection locked="0"/>
    </xf>
    <xf numFmtId="0" fontId="27" fillId="38" borderId="23" xfId="126" applyFont="1" applyFill="1" applyBorder="1">
      <alignment horizontal="left" vertical="center" wrapText="1" indent="1"/>
    </xf>
    <xf numFmtId="49" fontId="30" fillId="39" borderId="0" xfId="127" applyFont="1" applyFill="1" applyNumberFormat="1">
      <alignment horizontal="center" vertical="center" wrapText="1"/>
    </xf>
    <xf numFmtId="0" fontId="27" fillId="0" borderId="0" xfId="128" applyFont="1">
      <alignment horizontal="left" vertical="center" wrapText="1" indent="4"/>
    </xf>
    <xf numFmtId="49" fontId="42" fillId="38" borderId="23" xfId="129" applyFont="1" applyFill="1" applyBorder="1" applyNumberFormat="1">
      <alignment horizontal="left" vertical="center" wrapText="1" indent="1"/>
      <protection locked="0"/>
    </xf>
    <xf numFmtId="49" fontId="27" fillId="39" borderId="0" xfId="130" applyFont="1" applyFill="1" applyNumberFormat="1">
      <alignment horizontal="right" vertical="center" wrapText="1" indent="1"/>
    </xf>
    <xf numFmtId="49" fontId="37" fillId="0" borderId="0" xfId="131" applyFont="1" applyNumberFormat="1">
      <alignment horizontal="center" vertical="center" wrapText="1"/>
    </xf>
    <xf numFmtId="49" fontId="23" fillId="39" borderId="0" xfId="132" applyFont="1" applyFill="1" applyNumberFormat="1">
      <alignment horizontal="right" vertical="center" wrapText="1" indent="1"/>
    </xf>
    <xf numFmtId="0" fontId="33" fillId="0" borderId="0" xfId="133" applyFont="1">
      <alignment horizontal="left" vertical="center" wrapText="1"/>
    </xf>
    <xf numFmtId="0" fontId="28" fillId="0" borderId="0" xfId="134" applyFont="1">
      <alignment horizontal="left" vertical="center" wrapText="1"/>
    </xf>
    <xf numFmtId="0" fontId="43" fillId="0" borderId="0" xfId="135" applyFont="1">
      <alignment vertical="center" wrapText="1"/>
    </xf>
    <xf numFmtId="0" fontId="28" fillId="0" borderId="0" xfId="136" applyFont="1">
      <alignment horizontal="center" vertical="center" wrapText="1"/>
    </xf>
    <xf numFmtId="0" fontId="44" fillId="0" borderId="0" xfId="137" applyFont="1">
      <alignment horizontal="left" vertical="center" indent="1"/>
    </xf>
    <xf numFmtId="0" fontId="44" fillId="0" borderId="0" xfId="138" applyFont="1">
      <alignment horizontal="center" vertical="center" wrapText="1"/>
    </xf>
    <xf numFmtId="0" fontId="44" fillId="0" borderId="0" xfId="139" applyFont="1">
      <alignment horizontal="left" vertical="center" wrapText="1" indent="1"/>
    </xf>
    <xf numFmtId="0" fontId="44" fillId="0" borderId="0" xfId="140" applyFont="1">
      <alignment vertical="center" wrapText="1"/>
    </xf>
    <xf numFmtId="0" fontId="45" fillId="0" borderId="0" xfId="141" applyFont="1">
      <alignment vertical="center" wrapText="1"/>
    </xf>
    <xf numFmtId="0" fontId="46" fillId="0" borderId="0" xfId="142" applyFont="1">
      <alignment vertical="center" wrapText="1"/>
    </xf>
    <xf numFmtId="0" fontId="27" fillId="0" borderId="25" xfId="143" applyFont="1" applyBorder="1">
      <alignment horizontal="left" vertical="center" wrapText="1" indent="1"/>
    </xf>
    <xf numFmtId="0" fontId="27" fillId="0" borderId="25" xfId="144" applyFont="1" applyBorder="1">
      <alignment horizontal="center" vertical="center" wrapText="1"/>
    </xf>
    <xf numFmtId="4" fontId="27" fillId="0" borderId="23" xfId="145" applyFont="1" applyBorder="1" applyNumberFormat="1">
      <alignment horizontal="center" vertical="center" wrapText="1"/>
    </xf>
    <xf numFmtId="435" fontId="27" fillId="0" borderId="21" xfId="146" applyFont="1" applyBorder="1" applyNumberFormat="1">
      <alignment horizontal="center" vertical="center" wrapText="1"/>
    </xf>
    <xf numFmtId="435" fontId="27" fillId="0" borderId="23" xfId="147" applyFont="1" applyBorder="1" applyNumberFormat="1">
      <alignment horizontal="center" vertical="center" wrapText="1"/>
    </xf>
    <xf numFmtId="49" fontId="47" fillId="0" borderId="25" xfId="148" applyFont="1" applyBorder="1" applyNumberFormat="1">
      <alignment horizontal="center" vertical="center" wrapText="1"/>
    </xf>
    <xf numFmtId="49" fontId="27" fillId="41" borderId="26" xfId="149" applyFont="1" applyFill="1" applyBorder="1" applyNumberFormat="1">
      <alignment horizontal="center" vertical="center" wrapText="1"/>
    </xf>
    <xf numFmtId="49" fontId="37" fillId="41" borderId="26" xfId="150" applyFont="1" applyFill="1" applyBorder="1" applyNumberFormat="1">
      <alignment horizontal="left" vertical="center" wrapText="1"/>
    </xf>
    <xf numFmtId="49" fontId="37" fillId="41" borderId="27" xfId="151" applyFont="1" applyFill="1" applyBorder="1" applyNumberFormat="1">
      <alignment horizontal="left" vertical="center" wrapText="1"/>
    </xf>
    <xf numFmtId="0" fontId="44" fillId="0" borderId="28" xfId="152" applyFont="1" applyBorder="1">
      <alignment vertical="center"/>
    </xf>
    <xf numFmtId="0" fontId="44" fillId="0" borderId="0" xfId="153" applyFont="1">
      <alignment vertical="center"/>
    </xf>
    <xf numFmtId="0" fontId="27" fillId="0" borderId="23" xfId="154" applyFont="1" applyBorder="1">
      <alignment horizontal="center" vertical="center" wrapText="1"/>
    </xf>
    <xf numFmtId="0" fontId="44" fillId="0" borderId="23" xfId="155" applyFont="1" applyBorder="1">
      <alignment horizontal="center" vertical="center" wrapText="1"/>
    </xf>
    <xf numFmtId="49" fontId="27" fillId="38" borderId="23" xfId="156" applyFont="1" applyFill="1" applyBorder="1" applyNumberFormat="1">
      <alignment vertical="center" wrapText="1"/>
      <protection locked="0"/>
    </xf>
    <xf numFmtId="49" fontId="37" fillId="0" borderId="23" xfId="157" applyFont="1" applyBorder="1" applyNumberFormat="1">
      <alignment horizontal="left" vertical="center" wrapText="1"/>
    </xf>
    <xf numFmtId="0" fontId="47" fillId="0" borderId="29" xfId="158" applyFont="1" applyBorder="1">
      <alignment vertical="top" wrapText="1"/>
    </xf>
    <xf numFmtId="0" fontId="27" fillId="0" borderId="30" xfId="159" applyFont="1" applyBorder="1">
      <alignment horizontal="center" vertical="center" wrapText="1"/>
    </xf>
    <xf numFmtId="0" fontId="44" fillId="0" borderId="30" xfId="160" applyFont="1" applyBorder="1">
      <alignment horizontal="center" vertical="center" wrapText="1"/>
    </xf>
    <xf numFmtId="14" fontId="27" fillId="40" borderId="30" xfId="161" applyFont="1" applyFill="1" applyBorder="1" applyNumberFormat="1">
      <alignment horizontal="left" vertical="center" wrapText="1" indent="1"/>
    </xf>
    <xf numFmtId="49" fontId="27" fillId="37" borderId="30" xfId="162" applyFont="1" applyFill="1" applyBorder="1" applyNumberFormat="1">
      <alignment horizontal="center" vertical="center" wrapText="1"/>
    </xf>
    <xf numFmtId="49" fontId="23" fillId="0" borderId="0" xfId="163" applyFont="1" applyNumberFormat="1">
      <alignment vertical="top"/>
    </xf>
    <xf numFmtId="49" fontId="31" fillId="41" borderId="21" xfId="164" applyFont="1" applyFill="1" applyBorder="1" applyNumberFormat="1">
      <alignment horizontal="right" vertical="center" wrapText="1"/>
    </xf>
    <xf numFmtId="49" fontId="31" fillId="41" borderId="25" xfId="165" applyFont="1" applyFill="1" applyBorder="1" applyNumberFormat="1">
      <alignment horizontal="right" vertical="center" wrapText="1"/>
    </xf>
    <xf numFmtId="49" fontId="48" fillId="41" borderId="25" xfId="166" applyFont="1" applyFill="1" applyBorder="1" applyNumberFormat="1">
      <alignment horizontal="left" vertical="center" indent="1"/>
    </xf>
    <xf numFmtId="49" fontId="23" fillId="41" borderId="25" xfId="167" applyFont="1" applyFill="1" applyBorder="1" applyNumberFormat="1">
      <alignment horizontal="right" vertical="center" wrapText="1"/>
    </xf>
    <xf numFmtId="49" fontId="23" fillId="41" borderId="20" xfId="168" applyFont="1" applyFill="1" applyBorder="1" applyNumberFormat="1">
      <alignment horizontal="right" vertical="center" wrapText="1"/>
    </xf>
    <xf numFmtId="49" fontId="27" fillId="41" borderId="21" xfId="169" applyFont="1" applyFill="1" applyBorder="1" applyNumberFormat="1">
      <alignment horizontal="right" vertical="center" wrapText="1"/>
    </xf>
    <xf numFmtId="49" fontId="27" fillId="41" borderId="25" xfId="170" applyFont="1" applyFill="1" applyBorder="1" applyNumberFormat="1">
      <alignment horizontal="right" vertical="center" wrapText="1"/>
    </xf>
    <xf numFmtId="49" fontId="48" fillId="41" borderId="25" xfId="171" applyFont="1" applyFill="1" applyBorder="1" applyNumberFormat="1">
      <alignment horizontal="left" vertical="center"/>
    </xf>
    <xf numFmtId="49" fontId="27" fillId="41" borderId="20" xfId="172" applyFont="1" applyFill="1" applyBorder="1" applyNumberFormat="1">
      <alignment horizontal="right" vertical="center" wrapText="1"/>
    </xf>
    <xf numFmtId="0" fontId="27" fillId="0" borderId="31" xfId="173" applyFont="1" applyBorder="1">
      <alignment vertical="center" wrapText="1"/>
    </xf>
    <xf numFmtId="0" fontId="49" fillId="0" borderId="0" xfId="174" applyFont="1">
      <alignment vertical="center" wrapText="1"/>
    </xf>
    <xf numFmtId="0" fontId="50" fillId="0" borderId="0" xfId="175" applyFont="1">
      <alignment horizontal="center" vertical="center" wrapText="1"/>
    </xf>
    <xf numFmtId="0" fontId="51" fillId="0" borderId="0" xfId="176" applyFont="1">
      <alignment vertical="center"/>
    </xf>
    <xf numFmtId="0" fontId="23" fillId="0" borderId="0" xfId="177" applyFont="1">
      <alignment vertical="center"/>
    </xf>
    <xf numFmtId="0" fontId="27" fillId="0" borderId="27" xfId="178" applyFont="1" applyBorder="1">
      <alignment horizontal="left" vertical="center" wrapText="1" indent="1"/>
    </xf>
    <xf numFmtId="0" fontId="27" fillId="0" borderId="32" xfId="179" applyFont="1" applyBorder="1">
      <alignment horizontal="left" vertical="center" wrapText="1" indent="1"/>
    </xf>
    <xf numFmtId="0" fontId="27" fillId="0" borderId="33" xfId="180" applyFont="1" applyBorder="1">
      <alignment horizontal="left" vertical="center" wrapText="1" indent="1"/>
    </xf>
    <xf numFmtId="0" fontId="27" fillId="0" borderId="34" xfId="181" applyFont="1" applyBorder="1">
      <alignment horizontal="left" vertical="center" indent="1"/>
    </xf>
    <xf numFmtId="0" fontId="27" fillId="0" borderId="30" xfId="182" applyFont="1" applyBorder="1">
      <alignment horizontal="left" vertical="center" indent="1"/>
    </xf>
    <xf numFmtId="0" fontId="27" fillId="0" borderId="35" xfId="183" applyFont="1" applyBorder="1">
      <alignment horizontal="left" vertical="center" indent="1"/>
    </xf>
    <xf numFmtId="0" fontId="52" fillId="0" borderId="0" xfId="184" applyFont="1">
      <alignment vertical="center"/>
    </xf>
    <xf numFmtId="0" fontId="23" fillId="0" borderId="0" xfId="185" applyFont="1">
      <alignment horizontal="left" vertical="center" wrapText="1" indent="2"/>
    </xf>
    <xf numFmtId="0" fontId="27" fillId="42" borderId="0" xfId="186" applyFont="1" applyFill="1">
      <alignment horizontal="center" vertical="center" wrapText="1"/>
    </xf>
    <xf numFmtId="0" fontId="53" fillId="0" borderId="33" xfId="187" applyFont="1" applyBorder="1">
      <alignment horizontal="center" vertical="center" wrapText="1"/>
    </xf>
    <xf numFmtId="0" fontId="53" fillId="0" borderId="26" xfId="188" applyFont="1" applyBorder="1">
      <alignment horizontal="center" vertical="center" wrapText="1"/>
    </xf>
    <xf numFmtId="0" fontId="53" fillId="0" borderId="23" xfId="189" applyFont="1" applyBorder="1">
      <alignment horizontal="center" vertical="center" wrapText="1"/>
    </xf>
    <xf numFmtId="0" fontId="27" fillId="0" borderId="36" xfId="190" applyFont="1" applyBorder="1">
      <alignment horizontal="center" vertical="center" wrapText="1"/>
    </xf>
    <xf numFmtId="0" fontId="27" fillId="0" borderId="37" xfId="191" applyFont="1" applyBorder="1">
      <alignment horizontal="center" vertical="center" wrapText="1"/>
    </xf>
    <xf numFmtId="0" fontId="37" fillId="0" borderId="28" xfId="192" applyFont="1" applyBorder="1">
      <alignment vertical="center"/>
    </xf>
    <xf numFmtId="49" fontId="47" fillId="0" borderId="23" xfId="193" applyFont="1" applyBorder="1" applyNumberFormat="1">
      <alignment horizontal="center" vertical="center" wrapText="1"/>
    </xf>
    <xf numFmtId="49" fontId="47" fillId="0" borderId="38" xfId="194" applyFont="1" applyBorder="1" applyNumberFormat="1">
      <alignment horizontal="center" vertical="center" wrapText="1"/>
    </xf>
    <xf numFmtId="49" fontId="47" fillId="0" borderId="39" xfId="195" applyFont="1" applyBorder="1" applyNumberFormat="1">
      <alignment horizontal="center" vertical="center" wrapText="1"/>
    </xf>
    <xf numFmtId="49" fontId="47" fillId="0" borderId="21" xfId="196" applyFont="1" applyBorder="1" applyNumberFormat="1">
      <alignment horizontal="center" vertical="center" wrapText="1"/>
    </xf>
    <xf numFmtId="49" fontId="47" fillId="0" borderId="20" xfId="197" applyFont="1" applyBorder="1" applyNumberFormat="1">
      <alignment horizontal="center" vertical="center" wrapText="1"/>
    </xf>
    <xf numFmtId="0" fontId="27" fillId="41" borderId="21" xfId="198" applyFont="1" applyFill="1" applyBorder="1">
      <alignment horizontal="center" vertical="center" wrapText="1"/>
    </xf>
    <xf numFmtId="49" fontId="27" fillId="41" borderId="25" xfId="199" applyFont="1" applyFill="1" applyBorder="1" applyNumberFormat="1">
      <alignment horizontal="center" vertical="center" wrapText="1"/>
    </xf>
    <xf numFmtId="49" fontId="27" fillId="41" borderId="40" xfId="200" applyFont="1" applyFill="1" applyBorder="1" applyNumberFormat="1">
      <alignment horizontal="center" vertical="center" wrapText="1"/>
    </xf>
    <xf numFmtId="49" fontId="23" fillId="41" borderId="25" xfId="201" applyFont="1" applyFill="1" applyBorder="1" applyNumberFormat="1">
      <alignment horizontal="left" vertical="center"/>
    </xf>
    <xf numFmtId="0" fontId="23" fillId="41" borderId="20" xfId="202" applyFont="1" applyFill="1" applyBorder="1">
      <alignment vertical="center"/>
    </xf>
    <xf numFmtId="49" fontId="27" fillId="0" borderId="23" xfId="203" applyFont="1" applyBorder="1" applyNumberFormat="1">
      <alignment horizontal="center" vertical="center" wrapText="1"/>
    </xf>
    <xf numFmtId="0" fontId="27" fillId="40" borderId="32" xfId="204" applyFont="1" applyFill="1" applyBorder="1">
      <alignment horizontal="left" vertical="center" wrapText="1" indent="2"/>
    </xf>
    <xf numFmtId="49" fontId="27" fillId="40" borderId="30" xfId="205" applyFont="1" applyFill="1" applyBorder="1" applyNumberFormat="1">
      <alignment horizontal="center" vertical="center" wrapText="1"/>
    </xf>
    <xf numFmtId="14" fontId="54" fillId="0" borderId="41" xfId="206" applyFont="1" applyBorder="1" applyNumberFormat="1">
      <alignment horizontal="center" vertical="center" wrapText="1"/>
    </xf>
    <xf numFmtId="0" fontId="27" fillId="0" borderId="41" xfId="207" applyFont="1" applyBorder="1">
      <alignment horizontal="center" vertical="center" wrapText="1"/>
    </xf>
    <xf numFmtId="0" fontId="27" fillId="40" borderId="32" xfId="208" applyFont="1" applyFill="1" applyBorder="1">
      <alignment horizontal="left" vertical="center" wrapText="1" indent="1"/>
    </xf>
    <xf numFmtId="49" fontId="27" fillId="40" borderId="23" xfId="209" applyFont="1" applyFill="1" applyBorder="1" applyNumberFormat="1">
      <alignment horizontal="center" vertical="center" wrapText="1"/>
    </xf>
    <xf numFmtId="49" fontId="27" fillId="0" borderId="32" xfId="210" applyFont="1" applyBorder="1" applyNumberFormat="1">
      <alignment horizontal="center" vertical="center" wrapText="1"/>
    </xf>
    <xf numFmtId="49" fontId="53" fillId="38" borderId="23" xfId="211" applyFont="1" applyFill="1" applyBorder="1" applyNumberFormat="1">
      <alignment horizontal="left" vertical="center" wrapText="1" indent="1"/>
      <protection locked="0"/>
    </xf>
    <xf numFmtId="0" fontId="27" fillId="0" borderId="0" xfId="212" applyFont="1">
      <alignment vertical="center"/>
    </xf>
    <xf numFmtId="0" fontId="37" fillId="0" borderId="0" xfId="213" applyFont="1">
      <alignment vertical="center"/>
    </xf>
    <xf numFmtId="49" fontId="23" fillId="0" borderId="23" xfId="214" applyFont="1" applyBorder="1" applyNumberFormat="1">
      <alignment vertical="top"/>
    </xf>
    <xf numFmtId="0" fontId="47" fillId="0" borderId="23" xfId="215" applyFont="1" applyBorder="1">
      <alignment horizontal="center" vertical="center" wrapText="1"/>
    </xf>
    <xf numFmtId="49" fontId="27" fillId="0" borderId="20" xfId="216" applyFont="1" applyBorder="1" applyNumberFormat="1">
      <alignment horizontal="center" vertical="center" wrapText="1"/>
    </xf>
    <xf numFmtId="0" fontId="27" fillId="40" borderId="42" xfId="217" applyFont="1" applyFill="1" applyBorder="1">
      <alignment horizontal="left" vertical="center" wrapText="1" indent="2"/>
    </xf>
    <xf numFmtId="0" fontId="27" fillId="40" borderId="30" xfId="218" applyFont="1" applyFill="1" applyBorder="1">
      <alignment horizontal="left" vertical="center" wrapText="1" indent="1"/>
    </xf>
    <xf numFmtId="49" fontId="48" fillId="41" borderId="20" xfId="219" applyFont="1" applyFill="1" applyBorder="1" applyNumberFormat="1">
      <alignment horizontal="left" vertical="center" indent="1"/>
    </xf>
    <xf numFmtId="0" fontId="27" fillId="40" borderId="30" xfId="220" applyFont="1" applyFill="1" applyBorder="1">
      <alignment horizontal="left" vertical="center" wrapText="1" indent="2"/>
    </xf>
    <xf numFmtId="49" fontId="31" fillId="41" borderId="43" xfId="221" applyFont="1" applyFill="1" applyBorder="1" applyNumberFormat="1">
      <alignment horizontal="right" vertical="center" wrapText="1"/>
    </xf>
    <xf numFmtId="49" fontId="31" fillId="41" borderId="44" xfId="222" applyFont="1" applyFill="1" applyBorder="1" applyNumberFormat="1">
      <alignment horizontal="right" vertical="center" wrapText="1"/>
    </xf>
    <xf numFmtId="49" fontId="31" fillId="41" borderId="20" xfId="223" applyFont="1" applyFill="1" applyBorder="1" applyNumberFormat="1">
      <alignment horizontal="right" vertical="center" wrapText="1"/>
    </xf>
    <xf numFmtId="0" fontId="53" fillId="42" borderId="0" xfId="224" applyFont="1" applyFill="1">
      <alignment vertical="top"/>
    </xf>
    <xf numFmtId="49" fontId="48" fillId="41" borderId="25" xfId="225" applyFont="1" applyFill="1" applyBorder="1" applyNumberFormat="1">
      <alignment horizontal="left" vertical="center" indent="2"/>
    </xf>
    <xf numFmtId="0" fontId="27" fillId="0" borderId="27" xfId="226" applyFont="1" applyBorder="1">
      <alignment horizontal="left" vertical="top" wrapText="1" indent="1"/>
    </xf>
    <xf numFmtId="0" fontId="27" fillId="0" borderId="32" xfId="227" applyFont="1" applyBorder="1">
      <alignment horizontal="left" vertical="top" wrapText="1" indent="1"/>
    </xf>
    <xf numFmtId="0" fontId="27" fillId="0" borderId="33" xfId="228" applyFont="1" applyBorder="1">
      <alignment horizontal="left" vertical="top" wrapText="1" indent="1"/>
    </xf>
    <xf numFmtId="0" fontId="27" fillId="0" borderId="45" xfId="229" applyFont="1" applyBorder="1">
      <alignment horizontal="left" vertical="center" indent="1"/>
    </xf>
    <xf numFmtId="0" fontId="55" fillId="0" borderId="29" xfId="230" applyFont="1" applyBorder="1">
      <alignment horizontal="left" vertical="center" wrapText="1" indent="1"/>
    </xf>
    <xf numFmtId="0" fontId="55" fillId="0" borderId="42" xfId="231" applyFont="1" applyBorder="1">
      <alignment horizontal="left" vertical="center" wrapText="1" indent="1"/>
    </xf>
    <xf numFmtId="0" fontId="55" fillId="0" borderId="28" xfId="232" applyFont="1" applyBorder="1">
      <alignment horizontal="left" vertical="center" wrapText="1" indent="1"/>
    </xf>
    <xf numFmtId="0" fontId="56" fillId="0" borderId="0" xfId="233" applyFont="1">
      <alignment vertical="center"/>
    </xf>
    <xf numFmtId="0" fontId="23" fillId="0" borderId="23" xfId="234" applyFont="1" applyBorder="1">
      <alignment horizontal="center" vertical="center" wrapText="1"/>
    </xf>
    <xf numFmtId="49" fontId="44" fillId="39" borderId="0" xfId="235" applyFont="1" applyFill="1" applyNumberFormat="1">
      <alignment horizontal="center" vertical="center" wrapText="1"/>
    </xf>
    <xf numFmtId="49" fontId="44" fillId="39" borderId="45" xfId="236" applyFont="1" applyFill="1" applyBorder="1" applyNumberFormat="1">
      <alignment horizontal="center" vertical="center" wrapText="1"/>
    </xf>
    <xf numFmtId="0" fontId="44" fillId="0" borderId="23" xfId="237" applyFont="1" applyBorder="1">
      <alignment horizontal="center" vertical="center"/>
    </xf>
    <xf numFmtId="0" fontId="23" fillId="0" borderId="23" xfId="238" applyFont="1" applyBorder="1">
      <alignment horizontal="center" vertical="center"/>
    </xf>
    <xf numFmtId="49" fontId="23" fillId="0" borderId="23" xfId="239" applyFont="1" applyBorder="1" applyNumberFormat="1">
      <alignment horizontal="center" vertical="center"/>
    </xf>
    <xf numFmtId="49" fontId="23" fillId="0" borderId="23" xfId="240" applyFont="1" applyBorder="1" applyNumberFormat="1">
      <alignment horizontal="left" vertical="center"/>
    </xf>
    <xf numFmtId="0" fontId="23" fillId="0" borderId="23" xfId="241" applyFont="1" applyBorder="1">
      <alignment horizontal="center" vertical="top"/>
    </xf>
    <xf numFmtId="0" fontId="27" fillId="0" borderId="23" xfId="242" applyFont="1" applyBorder="1">
      <alignment horizontal="left" vertical="top" wrapText="1"/>
    </xf>
    <xf numFmtId="0" fontId="27" fillId="40" borderId="32" xfId="243" applyFont="1" applyFill="1" applyBorder="1">
      <alignment horizontal="center" vertical="top" wrapText="1"/>
    </xf>
    <xf numFmtId="0" fontId="23" fillId="0" borderId="33" xfId="244" applyFont="1" applyBorder="1">
      <alignment horizontal="center" vertical="center"/>
    </xf>
    <xf numFmtId="0" fontId="23" fillId="0" borderId="26" xfId="245" applyFont="1" applyBorder="1">
      <alignment horizontal="center" vertical="center"/>
    </xf>
    <xf numFmtId="49" fontId="27" fillId="0" borderId="26" xfId="246" applyFont="1" applyBorder="1" applyNumberFormat="1">
      <alignment horizontal="left" vertical="center" wrapText="1"/>
    </xf>
    <xf numFmtId="49" fontId="27" fillId="0" borderId="26" xfId="247" applyFont="1" applyBorder="1" applyNumberFormat="1">
      <alignment horizontal="center" vertical="center" wrapText="1"/>
    </xf>
    <xf numFmtId="0" fontId="23" fillId="0" borderId="26" xfId="248" applyFont="1" applyBorder="1">
      <alignment horizontal="left" vertical="center" wrapText="1"/>
    </xf>
    <xf numFmtId="49" fontId="23" fillId="0" borderId="26" xfId="249" applyFont="1" applyBorder="1" applyNumberFormat="1">
      <alignment horizontal="left" vertical="center" wrapText="1"/>
    </xf>
    <xf numFmtId="49" fontId="27" fillId="0" borderId="27" xfId="250" applyFont="1" applyBorder="1" applyNumberFormat="1">
      <alignment horizontal="left" vertical="center" wrapText="1"/>
    </xf>
    <xf numFmtId="0" fontId="27" fillId="0" borderId="0" xfId="251" applyFont="1">
      <alignment horizontal="left" vertical="center" indent="1"/>
    </xf>
    <xf numFmtId="0" fontId="27" fillId="40" borderId="42" xfId="252" applyFont="1" applyFill="1" applyBorder="1">
      <alignment horizontal="center" vertical="top" wrapText="1"/>
    </xf>
    <xf numFmtId="0" fontId="23" fillId="0" borderId="28" xfId="253" applyFont="1" applyBorder="1">
      <alignment horizontal="center" vertical="center"/>
    </xf>
    <xf numFmtId="0" fontId="48" fillId="0" borderId="29" xfId="254" applyFont="1" applyBorder="1">
      <alignment horizontal="left" vertical="center"/>
    </xf>
    <xf numFmtId="49" fontId="23" fillId="0" borderId="23" xfId="255" applyFont="1" applyBorder="1" applyNumberFormat="1">
      <alignment horizontal="left" vertical="top"/>
    </xf>
    <xf numFmtId="0" fontId="27" fillId="40" borderId="30" xfId="256" applyFont="1" applyFill="1" applyBorder="1">
      <alignment horizontal="center" vertical="top" wrapText="1"/>
    </xf>
    <xf numFmtId="0" fontId="48" fillId="0" borderId="35" xfId="257" applyFont="1" applyBorder="1">
      <alignment horizontal="left" vertical="center"/>
    </xf>
    <xf numFmtId="0" fontId="48" fillId="0" borderId="45" xfId="258" applyFont="1" applyBorder="1">
      <alignment horizontal="left" vertical="center"/>
    </xf>
    <xf numFmtId="0" fontId="23" fillId="0" borderId="45" xfId="259" applyFont="1" applyBorder="1">
      <alignment vertical="center"/>
    </xf>
    <xf numFmtId="0" fontId="48" fillId="0" borderId="34" xfId="260" applyFont="1" applyBorder="1">
      <alignment horizontal="left" vertical="center"/>
    </xf>
    <xf numFmtId="0" fontId="27" fillId="38" borderId="23" xfId="261" applyFont="1" applyFill="1" applyBorder="1">
      <alignment horizontal="left" vertical="top" wrapText="1"/>
      <protection locked="0"/>
    </xf>
    <xf numFmtId="49" fontId="27" fillId="0" borderId="0" xfId="262" applyFont="1" applyNumberFormat="1">
      <alignment horizontal="left" vertical="center" indent="1"/>
    </xf>
    <xf numFmtId="0" fontId="23" fillId="38" borderId="23" xfId="263" applyFont="1" applyFill="1" applyBorder="1">
      <alignment horizontal="left" vertical="top"/>
      <protection locked="0"/>
    </xf>
    <xf numFmtId="0" fontId="23" fillId="0" borderId="32" xfId="264" applyFont="1" applyBorder="1">
      <alignment horizontal="center" vertical="top"/>
    </xf>
    <xf numFmtId="0" fontId="27" fillId="0" borderId="32" xfId="265" applyFont="1" applyBorder="1">
      <alignment horizontal="left" vertical="top" wrapText="1"/>
    </xf>
    <xf numFmtId="0" fontId="23" fillId="0" borderId="42" xfId="266" applyFont="1" applyBorder="1">
      <alignment horizontal="center" vertical="top"/>
    </xf>
    <xf numFmtId="0" fontId="27" fillId="0" borderId="42" xfId="267" applyFont="1" applyBorder="1">
      <alignment horizontal="left" vertical="top" wrapText="1"/>
    </xf>
    <xf numFmtId="0" fontId="23" fillId="0" borderId="30" xfId="268" applyFont="1" applyBorder="1">
      <alignment horizontal="center" vertical="top"/>
    </xf>
    <xf numFmtId="0" fontId="27" fillId="0" borderId="30" xfId="269" applyFont="1" applyBorder="1">
      <alignment horizontal="left" vertical="top" wrapText="1"/>
    </xf>
    <xf numFmtId="0" fontId="23" fillId="0" borderId="0" xfId="270" applyFont="1">
      <alignment horizontal="left" vertical="top" wrapText="1"/>
    </xf>
    <xf numFmtId="0" fontId="23" fillId="0" borderId="0" xfId="271" applyFont="1" quotePrefix="1">
      <alignment horizontal="left" vertical="top" wrapText="1" indent="1"/>
    </xf>
    <xf numFmtId="49" fontId="44" fillId="0" borderId="0" xfId="272" applyFont="1" applyNumberFormat="1">
      <alignment vertical="top"/>
    </xf>
    <xf numFmtId="49" fontId="44" fillId="0" borderId="0" xfId="273" applyFont="1" applyNumberFormat="1">
      <alignment horizontal="center" vertical="center"/>
    </xf>
    <xf numFmtId="49" fontId="56" fillId="0" borderId="0" xfId="274" applyFont="1" applyNumberFormat="1">
      <alignment vertical="top"/>
    </xf>
    <xf numFmtId="0" fontId="27" fillId="0" borderId="26" xfId="275" applyFont="1" applyBorder="1">
      <alignment horizontal="left" vertical="center" wrapText="1" indent="1"/>
    </xf>
    <xf numFmtId="0" fontId="27" fillId="0" borderId="45" xfId="276" applyFont="1" applyBorder="1">
      <alignment horizontal="left" vertical="center" wrapText="1" indent="1"/>
    </xf>
    <xf numFmtId="0" fontId="27" fillId="0" borderId="33" xfId="277" applyFont="1" applyBorder="1">
      <alignment horizontal="center" vertical="center" wrapText="1"/>
    </xf>
    <xf numFmtId="0" fontId="27" fillId="0" borderId="27" xfId="278" applyFont="1" applyBorder="1">
      <alignment horizontal="center" vertical="center" wrapText="1"/>
    </xf>
    <xf numFmtId="0" fontId="27" fillId="0" borderId="42" xfId="279" applyFont="1" applyBorder="1">
      <alignment horizontal="center" vertical="center" wrapText="1"/>
    </xf>
    <xf numFmtId="0" fontId="27" fillId="0" borderId="32" xfId="280" applyFont="1" applyBorder="1">
      <alignment horizontal="center" vertical="center" wrapText="1"/>
    </xf>
    <xf numFmtId="0" fontId="27" fillId="0" borderId="28" xfId="281" applyFont="1" applyBorder="1">
      <alignment horizontal="center" vertical="center" wrapText="1"/>
    </xf>
    <xf numFmtId="0" fontId="27" fillId="0" borderId="29" xfId="282" applyFont="1" applyBorder="1">
      <alignment horizontal="center" vertical="center" wrapText="1"/>
    </xf>
    <xf numFmtId="0" fontId="27" fillId="0" borderId="35" xfId="283" applyFont="1" applyBorder="1">
      <alignment horizontal="center" vertical="center" wrapText="1"/>
    </xf>
    <xf numFmtId="0" fontId="27" fillId="0" borderId="34" xfId="284" applyFont="1" applyBorder="1">
      <alignment horizontal="center" vertical="center" wrapText="1"/>
    </xf>
    <xf numFmtId="49" fontId="27" fillId="0" borderId="0" xfId="285" applyFont="1" applyNumberFormat="1">
      <alignment vertical="top"/>
    </xf>
    <xf numFmtId="49" fontId="27" fillId="0" borderId="23" xfId="286" applyFont="1" applyBorder="1" applyNumberFormat="1">
      <alignment horizontal="center" vertical="center"/>
    </xf>
    <xf numFmtId="0" fontId="27" fillId="0" borderId="23" xfId="287" applyFont="1" applyBorder="1">
      <alignment horizontal="left" vertical="center" wrapText="1"/>
    </xf>
    <xf numFmtId="49" fontId="27" fillId="40" borderId="32" xfId="288" applyFont="1" applyFill="1" applyBorder="1" applyNumberFormat="1">
      <alignment horizontal="center" vertical="center" wrapText="1"/>
    </xf>
    <xf numFmtId="49" fontId="27" fillId="0" borderId="33" xfId="289" applyFont="1" applyBorder="1" applyNumberFormat="1">
      <alignment vertical="center" wrapText="1"/>
    </xf>
    <xf numFmtId="0" fontId="27" fillId="0" borderId="26" xfId="290" applyFont="1" applyBorder="1">
      <alignment horizontal="center" vertical="center"/>
    </xf>
    <xf numFmtId="49" fontId="27" fillId="0" borderId="26" xfId="291" applyFont="1" applyBorder="1" applyNumberFormat="1">
      <alignment vertical="center" wrapText="1"/>
    </xf>
    <xf numFmtId="49" fontId="50" fillId="0" borderId="26" xfId="292" applyFont="1" applyBorder="1" applyNumberFormat="1">
      <alignment vertical="center" wrapText="1"/>
    </xf>
    <xf numFmtId="0" fontId="27" fillId="0" borderId="26" xfId="293" applyFont="1" applyBorder="1">
      <alignment horizontal="left" vertical="center" wrapText="1"/>
    </xf>
    <xf numFmtId="49" fontId="27" fillId="40" borderId="42" xfId="294" applyFont="1" applyFill="1" applyBorder="1" applyNumberFormat="1">
      <alignment horizontal="center" vertical="center" wrapText="1"/>
    </xf>
    <xf numFmtId="49" fontId="27" fillId="0" borderId="28" xfId="295" applyFont="1" applyBorder="1" applyNumberFormat="1">
      <alignment vertical="center" wrapText="1"/>
    </xf>
    <xf numFmtId="0" fontId="48" fillId="0" borderId="28" xfId="296" applyFont="1" applyBorder="1">
      <alignment horizontal="left" vertical="center"/>
    </xf>
    <xf numFmtId="49" fontId="27" fillId="0" borderId="32" xfId="297" applyFont="1" applyBorder="1" applyNumberFormat="1">
      <alignment horizontal="center" vertical="center"/>
    </xf>
    <xf numFmtId="0" fontId="27" fillId="0" borderId="32" xfId="298" applyFont="1" applyBorder="1">
      <alignment horizontal="left" vertical="center" wrapText="1"/>
    </xf>
    <xf numFmtId="0" fontId="27" fillId="0" borderId="33" xfId="299" applyFont="1" applyBorder="1">
      <alignment horizontal="left" vertical="center" wrapText="1"/>
    </xf>
    <xf numFmtId="49" fontId="56" fillId="0" borderId="35" xfId="300" applyFont="1" applyBorder="1" applyNumberFormat="1">
      <alignment vertical="top"/>
    </xf>
    <xf numFmtId="49" fontId="56" fillId="0" borderId="45" xfId="301" applyFont="1" applyBorder="1" applyNumberFormat="1">
      <alignment vertical="top"/>
    </xf>
    <xf numFmtId="49" fontId="28" fillId="0" borderId="0" xfId="302" applyFont="1" applyNumberFormat="1">
      <alignment vertical="top"/>
    </xf>
    <xf numFmtId="0" fontId="27" fillId="0" borderId="21" xfId="303" applyFont="1" applyBorder="1">
      <alignment horizontal="left" vertical="center" wrapText="1"/>
    </xf>
    <xf numFmtId="0" fontId="27" fillId="39" borderId="0" xfId="304" applyFont="1" applyFill="1"/>
    <xf numFmtId="0" fontId="23" fillId="39" borderId="0" xfId="305" applyFont="1" applyFill="1"/>
    <xf numFmtId="0" fontId="44" fillId="39" borderId="0" xfId="306" applyFont="1" applyFill="1"/>
    <xf numFmtId="0" fontId="40" fillId="39" borderId="0" xfId="307" applyFont="1" applyFill="1">
      <alignment horizontal="center"/>
    </xf>
    <xf numFmtId="0" fontId="40" fillId="39" borderId="0" xfId="308" applyFont="1" applyFill="1"/>
    <xf numFmtId="0" fontId="57" fillId="39" borderId="0" xfId="309" applyFont="1" applyFill="1">
      <alignment horizontal="right" vertical="center"/>
    </xf>
    <xf numFmtId="0" fontId="44" fillId="39" borderId="0" xfId="310" applyFont="1" applyFill="1">
      <alignment vertical="center" wrapText="1"/>
    </xf>
    <xf numFmtId="0" fontId="35" fillId="39" borderId="0" xfId="311" applyFont="1" applyFill="1">
      <alignment horizontal="left" vertical="center" wrapText="1"/>
    </xf>
    <xf numFmtId="49" fontId="23" fillId="39" borderId="23" xfId="312" applyFont="1" applyFill="1" applyBorder="1" applyNumberFormat="1">
      <alignment horizontal="center" vertical="center" wrapText="1"/>
    </xf>
    <xf numFmtId="49" fontId="27" fillId="39" borderId="23" xfId="313" applyFont="1" applyFill="1" applyBorder="1" applyNumberFormat="1">
      <alignment horizontal="center" vertical="center" wrapText="1"/>
    </xf>
    <xf numFmtId="0" fontId="23" fillId="39" borderId="23" xfId="314" applyFont="1" applyFill="1" applyBorder="1">
      <alignment horizontal="center" vertical="center" wrapText="1"/>
    </xf>
    <xf numFmtId="0" fontId="27" fillId="39" borderId="23" xfId="315" applyFont="1" applyFill="1" applyBorder="1">
      <alignment horizontal="center" vertical="center" wrapText="1"/>
    </xf>
    <xf numFmtId="0" fontId="47" fillId="39" borderId="0" xfId="316" applyFont="1" applyFill="1">
      <alignment horizontal="center" vertical="center"/>
    </xf>
    <xf numFmtId="49" fontId="44" fillId="0" borderId="23" xfId="317" applyFont="1" applyBorder="1" applyNumberFormat="1">
      <alignment horizontal="center" vertical="center"/>
    </xf>
    <xf numFmtId="0" fontId="44" fillId="0" borderId="23" xfId="318" applyFont="1" applyBorder="1">
      <alignment vertical="center" wrapText="1"/>
    </xf>
    <xf numFmtId="0" fontId="44" fillId="0" borderId="23" xfId="319" applyFont="1" applyBorder="1">
      <alignment horizontal="left" vertical="center" wrapText="1"/>
    </xf>
    <xf numFmtId="0" fontId="58" fillId="39" borderId="0" xfId="320" applyFont="1" applyFill="1"/>
    <xf numFmtId="49" fontId="23" fillId="39" borderId="23" xfId="321" applyFont="1" applyFill="1" applyBorder="1" applyNumberFormat="1">
      <alignment horizontal="center" vertical="center"/>
    </xf>
    <xf numFmtId="0" fontId="23" fillId="39" borderId="23" xfId="322" applyFont="1" applyFill="1" applyBorder="1">
      <alignment vertical="center" wrapText="1"/>
    </xf>
    <xf numFmtId="0" fontId="27" fillId="39" borderId="23" xfId="323" applyFont="1" applyFill="1" applyBorder="1">
      <alignment vertical="center" wrapText="1"/>
    </xf>
    <xf numFmtId="0" fontId="23" fillId="39" borderId="23" xfId="324" applyFont="1" applyFill="1" applyBorder="1">
      <alignment horizontal="left" vertical="center" wrapText="1" indent="1"/>
    </xf>
    <xf numFmtId="49" fontId="23" fillId="38" borderId="23" xfId="325" applyFont="1" applyFill="1" applyBorder="1" applyNumberFormat="1">
      <alignment horizontal="left" vertical="center" wrapText="1"/>
      <protection locked="0"/>
    </xf>
    <xf numFmtId="0" fontId="44" fillId="0" borderId="23" xfId="326" applyFont="1" applyBorder="1">
      <alignment horizontal="left" vertical="center" wrapText="1" indent="1"/>
    </xf>
    <xf numFmtId="49" fontId="27" fillId="39" borderId="0" xfId="327" applyFont="1" applyFill="1" applyNumberFormat="1">
      <alignment horizontal="center" vertical="center" wrapText="1"/>
    </xf>
    <xf numFmtId="0" fontId="27" fillId="39" borderId="29" xfId="328" applyFont="1" applyFill="1" applyBorder="1">
      <alignment horizontal="center" vertical="center" wrapText="1"/>
    </xf>
    <xf numFmtId="0" fontId="23" fillId="39" borderId="23" xfId="329" applyFont="1" applyFill="1" applyBorder="1">
      <alignment horizontal="center" vertical="center"/>
    </xf>
    <xf numFmtId="0" fontId="23" fillId="39" borderId="23" xfId="330" applyFont="1" applyFill="1" applyBorder="1">
      <alignment horizontal="left" vertical="center" wrapText="1" indent="2"/>
    </xf>
    <xf numFmtId="49" fontId="23" fillId="0" borderId="23" xfId="331" applyFont="1" applyBorder="1" applyNumberFormat="1">
      <alignment horizontal="left" vertical="center" wrapText="1"/>
    </xf>
    <xf numFmtId="49" fontId="27" fillId="39" borderId="0" xfId="332" applyFont="1" applyFill="1" applyNumberFormat="1">
      <alignment vertical="center" wrapText="1"/>
    </xf>
    <xf numFmtId="0" fontId="27" fillId="39" borderId="29" xfId="333" applyFont="1" applyFill="1" applyBorder="1">
      <alignment vertical="center" wrapText="1"/>
    </xf>
    <xf numFmtId="0" fontId="27" fillId="41" borderId="21" xfId="334" applyFont="1" applyFill="1" applyBorder="1">
      <alignment horizontal="center"/>
    </xf>
    <xf numFmtId="0" fontId="57" fillId="41" borderId="25" xfId="335" applyFont="1" applyFill="1" applyBorder="1">
      <alignment horizontal="left" vertical="center"/>
    </xf>
    <xf numFmtId="0" fontId="57" fillId="41" borderId="20" xfId="336" applyFont="1" applyFill="1" applyBorder="1">
      <alignment horizontal="left" vertical="center"/>
    </xf>
    <xf numFmtId="49" fontId="44" fillId="39" borderId="23" xfId="337" applyFont="1" applyFill="1" applyBorder="1" applyNumberFormat="1">
      <alignment horizontal="center" vertical="center"/>
    </xf>
    <xf numFmtId="0" fontId="44" fillId="39" borderId="23" xfId="338" applyFont="1" applyFill="1" applyBorder="1">
      <alignment vertical="center" wrapText="1"/>
    </xf>
    <xf numFmtId="0" fontId="44" fillId="39" borderId="23" xfId="339" applyFont="1" applyFill="1" applyBorder="1">
      <alignment horizontal="left" vertical="center" wrapText="1" indent="1"/>
    </xf>
    <xf numFmtId="0" fontId="44" fillId="39" borderId="23" xfId="340" applyFont="1" applyFill="1" applyBorder="1">
      <alignment horizontal="left" vertical="center" wrapText="1" indent="2"/>
    </xf>
    <xf numFmtId="49" fontId="44" fillId="0" borderId="23" xfId="341" applyFont="1" applyBorder="1" applyNumberFormat="1">
      <alignment horizontal="left" vertical="center" wrapText="1"/>
    </xf>
    <xf numFmtId="0" fontId="23" fillId="39" borderId="23" xfId="342" applyFont="1" applyFill="1" applyBorder="1">
      <alignment horizontal="left" vertical="center" wrapText="1"/>
    </xf>
    <xf numFmtId="49" fontId="23" fillId="35" borderId="23" xfId="343" applyFont="1" applyFill="1" applyBorder="1" applyNumberFormat="1">
      <alignment horizontal="left" vertical="center" wrapText="1"/>
      <protection locked="0"/>
    </xf>
    <xf numFmtId="0" fontId="23" fillId="39" borderId="32" xfId="344" applyFont="1" applyFill="1" applyBorder="1">
      <alignment horizontal="left" vertical="center" wrapText="1"/>
    </xf>
    <xf numFmtId="0" fontId="27" fillId="39" borderId="32" xfId="345" applyFont="1" applyFill="1" applyBorder="1">
      <alignment horizontal="left" vertical="top" wrapText="1"/>
    </xf>
    <xf numFmtId="49" fontId="23" fillId="0" borderId="23" xfId="346" applyFont="1" applyBorder="1" applyNumberFormat="1">
      <alignment horizontal="left" vertical="center" wrapText="1" indent="1"/>
    </xf>
    <xf numFmtId="0" fontId="27" fillId="39" borderId="42" xfId="347" applyFont="1" applyFill="1" applyBorder="1">
      <alignment horizontal="left" vertical="top" wrapText="1"/>
    </xf>
    <xf numFmtId="0" fontId="50" fillId="39" borderId="0" xfId="348" applyFont="1" applyFill="1">
      <alignment horizontal="center" vertical="center" wrapText="1"/>
    </xf>
    <xf numFmtId="49" fontId="23" fillId="38" borderId="23" xfId="349" applyFont="1" applyFill="1" applyBorder="1" applyNumberFormat="1">
      <alignment horizontal="left" vertical="center" wrapText="1" indent="1"/>
      <protection locked="0"/>
    </xf>
    <xf numFmtId="49" fontId="27" fillId="38" borderId="21" xfId="350" applyFont="1" applyFill="1" applyBorder="1" applyNumberFormat="1">
      <alignment horizontal="left" vertical="center" wrapText="1"/>
      <protection locked="0"/>
    </xf>
    <xf numFmtId="0" fontId="27" fillId="39" borderId="30" xfId="351" applyFont="1" applyFill="1" applyBorder="1">
      <alignment horizontal="left" vertical="top" wrapText="1"/>
    </xf>
    <xf numFmtId="0" fontId="59" fillId="39" borderId="0" xfId="352" applyFont="1" applyFill="1"/>
    <xf numFmtId="49" fontId="27" fillId="38" borderId="23" xfId="353" applyFont="1" applyFill="1" applyBorder="1" applyNumberFormat="1" quotePrefix="1">
      <alignment horizontal="left" vertical="center" wrapText="1"/>
      <protection locked="0"/>
    </xf>
    <xf numFmtId="49" fontId="27" fillId="35" borderId="23" xfId="354" applyFont="1" applyFill="1" applyBorder="1" applyNumberFormat="1">
      <alignment horizontal="left" vertical="center" wrapText="1"/>
      <protection locked="0"/>
    </xf>
    <xf numFmtId="49" fontId="27" fillId="40" borderId="23" xfId="355" applyFont="1" applyFill="1" applyBorder="1" applyNumberFormat="1">
      <alignment horizontal="left" vertical="center" wrapText="1"/>
    </xf>
    <xf numFmtId="0" fontId="23" fillId="39" borderId="21" xfId="356" applyFont="1" applyFill="1" applyBorder="1">
      <alignment horizontal="left" vertical="center" wrapText="1" indent="1"/>
    </xf>
    <xf numFmtId="49" fontId="27" fillId="40" borderId="21" xfId="357" applyFont="1" applyFill="1" applyBorder="1" applyNumberFormat="1">
      <alignment horizontal="left" vertical="center" wrapText="1"/>
    </xf>
    <xf numFmtId="0" fontId="23" fillId="39" borderId="23" xfId="358" applyFont="1" applyFill="1" applyBorder="1">
      <alignment vertical="top" wrapText="1"/>
    </xf>
    <xf numFmtId="0" fontId="23" fillId="39" borderId="21" xfId="359" applyFont="1" applyFill="1" applyBorder="1">
      <alignment horizontal="left" vertical="center" wrapText="1"/>
    </xf>
    <xf numFmtId="0" fontId="23" fillId="39" borderId="30" xfId="360" applyFont="1" applyFill="1" applyBorder="1">
      <alignment vertical="center" wrapText="1"/>
    </xf>
    <xf numFmtId="0" fontId="49" fillId="0" borderId="0" xfId="361" applyFont="1">
      <alignment horizontal="left" vertical="top" wrapText="1" indent="1"/>
    </xf>
    <xf numFmtId="0" fontId="60" fillId="39" borderId="0" xfId="362" applyFont="1" applyFill="1"/>
    <xf numFmtId="0" fontId="53" fillId="39" borderId="0" xfId="363" applyFont="1" applyFill="1">
      <alignment horizontal="center"/>
    </xf>
    <xf numFmtId="0" fontId="53" fillId="39" borderId="0" xfId="364" applyFont="1" applyFill="1"/>
    <xf numFmtId="0" fontId="61" fillId="39" borderId="0" xfId="365" applyFont="1" applyFill="1">
      <alignment horizontal="right" vertical="center"/>
    </xf>
    <xf numFmtId="0" fontId="62" fillId="39" borderId="0" xfId="366" applyFont="1" applyFill="1">
      <alignment vertical="center"/>
    </xf>
    <xf numFmtId="0" fontId="61" fillId="39" borderId="0" xfId="367" applyFont="1" applyFill="1">
      <alignment horizontal="right" vertical="top"/>
    </xf>
    <xf numFmtId="0" fontId="62" fillId="39" borderId="0" xfId="368" applyFont="1" applyFill="1">
      <alignment vertical="center" wrapText="1"/>
    </xf>
    <xf numFmtId="0" fontId="23" fillId="39" borderId="0" xfId="369" applyFont="1" applyFill="1">
      <alignment horizontal="center"/>
    </xf>
    <xf numFmtId="0" fontId="37" fillId="0" borderId="0" xfId="370" applyFont="1">
      <alignment horizontal="center" vertical="center" wrapText="1"/>
    </xf>
    <xf numFmtId="0" fontId="63" fillId="39" borderId="0" xfId="371" applyFont="1" applyFill="1">
      <alignment horizontal="center" vertical="center" wrapText="1"/>
    </xf>
    <xf numFmtId="0" fontId="63" fillId="39" borderId="0" xfId="372" applyFont="1" applyFill="1">
      <alignment horizontal="right" vertical="center" wrapText="1"/>
    </xf>
    <xf numFmtId="0" fontId="63" fillId="0" borderId="0" xfId="373" applyFont="1">
      <alignment vertical="center" wrapText="1"/>
    </xf>
    <xf numFmtId="0" fontId="27" fillId="0" borderId="34" xfId="374" applyFont="1" applyBorder="1">
      <alignment horizontal="left" vertical="center" wrapText="1" indent="1"/>
    </xf>
    <xf numFmtId="0" fontId="27" fillId="0" borderId="30" xfId="375" applyFont="1" applyBorder="1">
      <alignment horizontal="left" vertical="center" wrapText="1" indent="1"/>
    </xf>
    <xf numFmtId="0" fontId="27" fillId="0" borderId="35" xfId="376" applyFont="1" applyBorder="1">
      <alignment horizontal="left" vertical="center" wrapText="1" indent="1"/>
    </xf>
    <xf numFmtId="0" fontId="64" fillId="39" borderId="0" xfId="377" applyFont="1" applyFill="1">
      <alignment horizontal="center" vertical="center" wrapText="1"/>
    </xf>
    <xf numFmtId="0" fontId="23" fillId="0" borderId="21" xfId="378" applyFont="1" applyBorder="1">
      <alignment horizontal="center" vertical="center" wrapText="1"/>
    </xf>
    <xf numFmtId="0" fontId="23" fillId="0" borderId="25" xfId="379" applyFont="1" applyBorder="1">
      <alignment horizontal="center" vertical="center" wrapText="1"/>
    </xf>
    <xf numFmtId="0" fontId="23" fillId="0" borderId="20" xfId="380" applyFont="1" applyBorder="1">
      <alignment horizontal="center" vertical="center" wrapText="1"/>
    </xf>
    <xf numFmtId="0" fontId="23" fillId="0" borderId="32" xfId="381" applyFont="1" applyBorder="1">
      <alignment horizontal="center" vertical="center" wrapText="1"/>
    </xf>
    <xf numFmtId="0" fontId="23" fillId="0" borderId="33" xfId="382" applyFont="1" applyBorder="1">
      <alignment horizontal="center" vertical="center" wrapText="1"/>
    </xf>
    <xf numFmtId="0" fontId="23" fillId="0" borderId="27" xfId="383" applyFont="1" applyBorder="1">
      <alignment horizontal="center" vertical="center" wrapText="1"/>
    </xf>
    <xf numFmtId="0" fontId="23" fillId="0" borderId="30" xfId="384" applyFont="1" applyBorder="1">
      <alignment horizontal="center" vertical="center" wrapText="1"/>
    </xf>
    <xf numFmtId="0" fontId="23" fillId="0" borderId="35" xfId="385" applyFont="1" applyBorder="1">
      <alignment horizontal="center" vertical="center" wrapText="1"/>
    </xf>
    <xf numFmtId="0" fontId="23" fillId="0" borderId="34" xfId="386" applyFont="1" applyBorder="1">
      <alignment horizontal="center" vertical="center" wrapText="1"/>
    </xf>
    <xf numFmtId="0" fontId="47" fillId="39" borderId="0" xfId="387" applyFont="1" applyFill="1">
      <alignment horizontal="center" vertical="center" wrapText="1"/>
    </xf>
    <xf numFmtId="49" fontId="47" fillId="39" borderId="0" xfId="388" applyFont="1" applyFill="1" applyNumberFormat="1">
      <alignment horizontal="center" vertical="center" wrapText="1"/>
    </xf>
    <xf numFmtId="0" fontId="65" fillId="39" borderId="0" xfId="389" applyFont="1" applyFill="1">
      <alignment horizontal="center" vertical="center" wrapText="1"/>
    </xf>
    <xf numFmtId="49" fontId="55" fillId="0" borderId="32" xfId="390" applyFont="1" applyBorder="1" applyNumberFormat="1">
      <alignment horizontal="left" vertical="center" wrapText="1"/>
    </xf>
    <xf numFmtId="49" fontId="55" fillId="0" borderId="23" xfId="391" applyFont="1" applyBorder="1" applyNumberFormat="1">
      <alignment horizontal="left" vertical="center" wrapText="1"/>
    </xf>
    <xf numFmtId="49" fontId="23" fillId="0" borderId="23" xfId="392" applyFont="1" applyBorder="1" applyNumberFormat="1">
      <alignment vertical="top" wrapText="1"/>
    </xf>
    <xf numFmtId="0" fontId="55" fillId="0" borderId="0" xfId="393" applyFont="1">
      <alignment vertical="center" wrapText="1"/>
    </xf>
    <xf numFmtId="49" fontId="23" fillId="0" borderId="23" xfId="394" applyFont="1" applyBorder="1" applyNumberFormat="1">
      <alignment horizontal="center" vertical="center" wrapText="1"/>
    </xf>
    <xf numFmtId="0" fontId="27" fillId="40" borderId="21" xfId="395" applyFont="1" applyFill="1" applyBorder="1">
      <alignment horizontal="left" vertical="center" wrapText="1"/>
    </xf>
    <xf numFmtId="49" fontId="47" fillId="39" borderId="23" xfId="396" applyFont="1" applyFill="1" applyBorder="1" applyNumberFormat="1">
      <alignment horizontal="center" vertical="center" wrapText="1"/>
    </xf>
    <xf numFmtId="4" fontId="23" fillId="38" borderId="23" xfId="397" applyFont="1" applyFill="1" applyBorder="1" applyNumberFormat="1">
      <alignment horizontal="right" vertical="center" wrapText="1"/>
      <protection locked="0"/>
    </xf>
    <xf numFmtId="3" fontId="23" fillId="38" borderId="23" xfId="398" applyFont="1" applyFill="1" applyBorder="1" applyNumberFormat="1">
      <alignment horizontal="right" vertical="center" wrapText="1"/>
      <protection locked="0"/>
    </xf>
    <xf numFmtId="4" fontId="23" fillId="38" borderId="20" xfId="399" applyFont="1" applyFill="1" applyBorder="1" applyNumberFormat="1">
      <alignment horizontal="right" vertical="center" wrapText="1"/>
      <protection locked="0"/>
    </xf>
    <xf numFmtId="0" fontId="23" fillId="35" borderId="23" xfId="400" applyFont="1" applyFill="1" applyBorder="1">
      <alignment horizontal="right" vertical="center" wrapText="1"/>
      <protection locked="0"/>
    </xf>
    <xf numFmtId="3" fontId="23" fillId="0" borderId="20" xfId="401" applyFont="1" applyBorder="1" applyNumberFormat="1">
      <alignment horizontal="right" vertical="center" wrapText="1"/>
    </xf>
    <xf numFmtId="0" fontId="23" fillId="0" borderId="32" xfId="402" applyFont="1" applyBorder="1">
      <alignment horizontal="left" vertical="top" wrapText="1"/>
    </xf>
    <xf numFmtId="49" fontId="31" fillId="41" borderId="21" xfId="403" applyFont="1" applyFill="1" applyBorder="1" applyNumberFormat="1">
      <alignment horizontal="center" vertical="center"/>
    </xf>
    <xf numFmtId="0" fontId="48" fillId="41" borderId="25" xfId="404" applyFont="1" applyFill="1" applyBorder="1">
      <alignment vertical="center"/>
    </xf>
    <xf numFmtId="49" fontId="48" fillId="41" borderId="25" xfId="405" applyFont="1" applyFill="1" applyBorder="1" applyNumberFormat="1">
      <alignment vertical="center"/>
    </xf>
    <xf numFmtId="49" fontId="57" fillId="41" borderId="25" xfId="406" applyFont="1" applyFill="1" applyBorder="1" applyNumberFormat="1">
      <alignment vertical="center"/>
    </xf>
    <xf numFmtId="49" fontId="57" fillId="41" borderId="20" xfId="407" applyFont="1" applyFill="1" applyBorder="1" applyNumberFormat="1">
      <alignment vertical="center"/>
    </xf>
    <xf numFmtId="0" fontId="23" fillId="0" borderId="30" xfId="408" applyFont="1" applyBorder="1">
      <alignment horizontal="left" vertical="top" wrapText="1"/>
    </xf>
    <xf numFmtId="49" fontId="23" fillId="0" borderId="33" xfId="409" applyFont="1" applyBorder="1" applyNumberFormat="1">
      <alignment horizontal="center" vertical="center" wrapText="1"/>
    </xf>
    <xf numFmtId="0" fontId="27" fillId="40" borderId="26" xfId="410" applyFont="1" applyFill="1" applyBorder="1">
      <alignment horizontal="left" vertical="center" wrapText="1"/>
    </xf>
    <xf numFmtId="0" fontId="50" fillId="39" borderId="23" xfId="411" applyFont="1" applyFill="1" applyBorder="1">
      <alignment horizontal="center" vertical="center" wrapText="1"/>
    </xf>
    <xf numFmtId="49" fontId="27" fillId="38" borderId="23" xfId="412" applyFont="1" applyFill="1" applyBorder="1" applyNumberFormat="1">
      <alignment horizontal="left" vertical="center" wrapText="1"/>
      <protection locked="0"/>
    </xf>
    <xf numFmtId="3" fontId="27" fillId="38" borderId="23" xfId="413" applyFont="1" applyFill="1" applyBorder="1" applyNumberFormat="1">
      <alignment horizontal="right" vertical="center" wrapText="1"/>
      <protection locked="0"/>
    </xf>
    <xf numFmtId="49" fontId="23" fillId="0" borderId="35" xfId="414" applyFont="1" applyBorder="1" applyNumberFormat="1">
      <alignment horizontal="center" vertical="center" wrapText="1"/>
    </xf>
    <xf numFmtId="0" fontId="27" fillId="40" borderId="45" xfId="415" applyFont="1" applyFill="1" applyBorder="1">
      <alignment horizontal="left" vertical="center" wrapText="1"/>
    </xf>
    <xf numFmtId="0" fontId="27" fillId="0" borderId="26" xfId="416" applyFont="1" applyBorder="1">
      <alignment horizontal="left" vertical="top" wrapText="1" indent="1"/>
    </xf>
    <xf numFmtId="0" fontId="29" fillId="39" borderId="0" xfId="417" applyFont="1" applyFill="1">
      <alignment horizontal="right" vertical="center"/>
    </xf>
    <xf numFmtId="0" fontId="29" fillId="39" borderId="0" xfId="418" applyFont="1" applyFill="1">
      <alignment horizontal="right" vertical="center" wrapText="1"/>
    </xf>
    <xf numFmtId="49" fontId="47" fillId="39" borderId="25" xfId="419" applyFont="1" applyFill="1" applyBorder="1" applyNumberFormat="1">
      <alignment horizontal="center" vertical="center" wrapText="1"/>
    </xf>
    <xf numFmtId="49" fontId="27" fillId="0" borderId="23" xfId="420" applyFont="1" applyBorder="1" applyNumberFormat="1">
      <alignment horizontal="left" vertical="center" wrapText="1"/>
    </xf>
    <xf numFmtId="0" fontId="50" fillId="39" borderId="29" xfId="421" applyFont="1" applyFill="1" applyBorder="1">
      <alignment vertical="top" wrapText="1"/>
    </xf>
    <xf numFmtId="14" fontId="27" fillId="41" borderId="25" xfId="422" applyFont="1" applyFill="1" applyBorder="1" applyNumberFormat="1">
      <alignment horizontal="center" vertical="center" wrapText="1"/>
    </xf>
    <xf numFmtId="14" fontId="54" fillId="41" borderId="25" xfId="423" applyFont="1" applyFill="1" applyBorder="1" applyNumberFormat="1">
      <alignment horizontal="center" vertical="center" wrapText="1"/>
    </xf>
    <xf numFmtId="49" fontId="36" fillId="41" borderId="20" xfId="424" applyFont="1" applyFill="1" applyBorder="1" applyNumberFormat="1">
      <alignment horizontal="left" vertical="center" wrapText="1"/>
    </xf>
    <xf numFmtId="0" fontId="23" fillId="0" borderId="42" xfId="425" applyFont="1" applyBorder="1">
      <alignment horizontal="left" vertical="top" wrapText="1"/>
    </xf>
    <xf numFmtId="0" fontId="50" fillId="39" borderId="0" xfId="426" applyFont="1" applyFill="1">
      <alignment vertical="top" wrapText="1"/>
    </xf>
    <xf numFmtId="0" fontId="44" fillId="39" borderId="30" xfId="427" applyFont="1" applyFill="1" applyBorder="1">
      <alignment horizontal="center" vertical="center" wrapText="1"/>
    </xf>
    <xf numFmtId="14" fontId="27" fillId="40" borderId="30" xfId="428" applyFont="1" applyFill="1" applyBorder="1" applyNumberFormat="1">
      <alignment horizontal="left" vertical="center" wrapText="1"/>
    </xf>
    <xf numFmtId="14" fontId="27" fillId="40" borderId="23" xfId="429" applyFont="1" applyFill="1" applyBorder="1" applyNumberFormat="1">
      <alignment horizontal="center" vertical="center" wrapText="1"/>
    </xf>
    <xf numFmtId="49" fontId="36" fillId="38" borderId="23" xfId="430" applyFont="1" applyFill="1" applyBorder="1" applyNumberFormat="1">
      <alignment horizontal="left" vertical="center" wrapText="1"/>
      <protection locked="0"/>
    </xf>
    <xf numFmtId="0" fontId="44" fillId="0" borderId="0" xfId="431" applyFont="1">
      <alignment horizontal="left" vertical="center" wrapText="1"/>
    </xf>
    <xf numFmtId="49" fontId="44" fillId="0" borderId="0" xfId="432" applyFont="1" applyNumberFormat="1">
      <alignment horizontal="left" vertical="center" wrapText="1"/>
    </xf>
    <xf numFmtId="49" fontId="31" fillId="41" borderId="25" xfId="433" applyFont="1" applyFill="1" applyBorder="1" applyNumberFormat="1">
      <alignment horizontal="center" vertical="center"/>
    </xf>
    <xf numFmtId="49" fontId="57" fillId="41" borderId="25" xfId="434" applyFont="1" applyFill="1" applyBorder="1" applyNumberFormat="1">
      <alignment horizontal="left" vertical="center" indent="1"/>
    </xf>
    <xf numFmtId="49" fontId="57" fillId="41" borderId="20" xfId="435" applyFont="1" applyFill="1" applyBorder="1" applyNumberFormat="1">
      <alignment horizontal="left" vertical="center" indent="1"/>
    </xf>
    <xf numFmtId="0" fontId="49" fillId="0" borderId="0" xfId="436" applyFont="1">
      <alignment vertical="top"/>
    </xf>
    <xf numFmtId="49" fontId="66" fillId="0" borderId="23" xfId="437" applyFont="1" applyBorder="1" applyNumberFormat="1">
      <alignment vertical="top" wrapText="1"/>
    </xf>
    <xf numFmtId="49" fontId="33" fillId="0" borderId="23" xfId="438" applyFont="1" applyBorder="1" applyNumberFormat="1">
      <alignment horizontal="center" vertical="top" wrapText="1"/>
    </xf>
    <xf numFmtId="49" fontId="33" fillId="43" borderId="23" xfId="439" applyFont="1" applyFill="1" applyBorder="1" applyNumberFormat="1">
      <alignment horizontal="center" vertical="top"/>
    </xf>
    <xf numFmtId="49" fontId="33" fillId="0" borderId="23" xfId="440" applyFont="1" applyBorder="1" applyNumberFormat="1">
      <alignment vertical="top" wrapText="1"/>
    </xf>
    <xf numFmtId="0" fontId="33" fillId="0" borderId="23" xfId="441" applyFont="1" applyBorder="1">
      <alignment vertical="top" wrapText="1"/>
    </xf>
    <xf numFmtId="49" fontId="33" fillId="0" borderId="23" xfId="442" applyFont="1" applyBorder="1" applyNumberFormat="1">
      <alignment vertical="top"/>
    </xf>
    <xf numFmtId="49" fontId="66" fillId="0" borderId="23" xfId="443" applyFont="1" applyBorder="1" applyNumberFormat="1">
      <alignment vertical="top"/>
    </xf>
    <xf numFmtId="0" fontId="66" fillId="0" borderId="23" xfId="444" applyFont="1" applyBorder="1">
      <alignment vertical="top" wrapText="1"/>
    </xf>
    <xf numFmtId="49" fontId="66" fillId="0" borderId="23" xfId="445" applyFont="1" applyBorder="1" applyNumberFormat="1">
      <alignment horizontal="center" vertical="top" wrapText="1"/>
    </xf>
    <xf numFmtId="49" fontId="66" fillId="43" borderId="23" xfId="446" applyFont="1" applyFill="1" applyBorder="1" applyNumberFormat="1">
      <alignment horizontal="center" vertical="top" wrapText="1"/>
    </xf>
    <xf numFmtId="49" fontId="33" fillId="43" borderId="23" xfId="447" applyFont="1" applyFill="1" applyBorder="1" applyNumberFormat="1">
      <alignment horizontal="center" vertical="top" wrapText="1"/>
    </xf>
    <xf numFmtId="49" fontId="66" fillId="0" borderId="23" xfId="448" applyFont="1" applyBorder="1" applyNumberFormat="1">
      <alignment horizontal="left" vertical="top" wrapText="1"/>
    </xf>
    <xf numFmtId="0" fontId="33" fillId="43" borderId="23" xfId="449" applyFont="1" applyFill="1" applyBorder="1">
      <alignment horizontal="center" vertical="top" wrapText="1"/>
    </xf>
    <xf numFmtId="0" fontId="66" fillId="43" borderId="23" xfId="450" applyFont="1" applyFill="1" applyBorder="1">
      <alignment horizontal="right" vertical="center" wrapText="1"/>
    </xf>
    <xf numFmtId="49" fontId="66" fillId="0" borderId="21" xfId="451" applyFont="1" applyBorder="1" applyNumberFormat="1">
      <alignment horizontal="center" vertical="top" wrapText="1"/>
    </xf>
    <xf numFmtId="49" fontId="66" fillId="0" borderId="25" xfId="452" applyFont="1" applyBorder="1" applyNumberFormat="1">
      <alignment horizontal="center" vertical="top" wrapText="1"/>
    </xf>
    <xf numFmtId="49" fontId="66" fillId="0" borderId="20" xfId="453" applyFont="1" applyBorder="1" applyNumberFormat="1">
      <alignment horizontal="center" vertical="top" wrapText="1"/>
    </xf>
    <xf numFmtId="0" fontId="66" fillId="0" borderId="23" xfId="454" applyFont="1" applyBorder="1">
      <alignment horizontal="left" vertical="top" wrapText="1"/>
    </xf>
    <xf numFmtId="49" fontId="66" fillId="43" borderId="23" xfId="455" applyFont="1" applyFill="1" applyBorder="1" applyNumberFormat="1">
      <alignment horizontal="left" vertical="top" wrapText="1"/>
    </xf>
    <xf numFmtId="0" fontId="66" fillId="43" borderId="23" xfId="456" applyFont="1" applyFill="1" applyBorder="1">
      <alignment horizontal="center" vertical="center" wrapText="1"/>
    </xf>
    <xf numFmtId="49" fontId="66" fillId="0" borderId="32" xfId="457" applyFont="1" applyBorder="1" applyNumberFormat="1">
      <alignment horizontal="center" vertical="top" wrapText="1"/>
    </xf>
    <xf numFmtId="49" fontId="66" fillId="0" borderId="42" xfId="458" applyFont="1" applyBorder="1" applyNumberFormat="1">
      <alignment horizontal="center" vertical="top" wrapText="1"/>
    </xf>
    <xf numFmtId="0" fontId="66" fillId="0" borderId="32" xfId="459" applyFont="1" applyBorder="1">
      <alignment horizontal="left" vertical="top" wrapText="1"/>
    </xf>
    <xf numFmtId="49" fontId="66" fillId="0" borderId="33" xfId="460" applyFont="1" applyBorder="1" applyNumberFormat="1">
      <alignment horizontal="center" vertical="top" wrapText="1"/>
    </xf>
    <xf numFmtId="0" fontId="66" fillId="0" borderId="20" xfId="461" applyFont="1" applyBorder="1">
      <alignment horizontal="left" vertical="top" wrapText="1"/>
    </xf>
    <xf numFmtId="49" fontId="66" fillId="0" borderId="30" xfId="462" applyFont="1" applyBorder="1" applyNumberFormat="1">
      <alignment horizontal="center" vertical="top" wrapText="1"/>
    </xf>
    <xf numFmtId="49" fontId="66" fillId="0" borderId="35" xfId="463" applyFont="1" applyBorder="1" applyNumberFormat="1">
      <alignment horizontal="center" vertical="top" wrapText="1"/>
    </xf>
    <xf numFmtId="49" fontId="66" fillId="0" borderId="28" xfId="464" applyFont="1" applyBorder="1" applyNumberFormat="1">
      <alignment horizontal="center" vertical="top" wrapText="1"/>
    </xf>
    <xf numFmtId="0" fontId="66" fillId="0" borderId="32" xfId="465" applyFont="1" applyBorder="1">
      <alignment vertical="top" wrapText="1"/>
    </xf>
    <xf numFmtId="49" fontId="33" fillId="0" borderId="23" xfId="466" applyFont="1" applyBorder="1" applyNumberFormat="1">
      <alignment horizontal="left" vertical="top" wrapText="1"/>
    </xf>
    <xf numFmtId="0" fontId="33" fillId="0" borderId="21" xfId="467" applyFont="1" applyBorder="1">
      <alignment horizontal="center" vertical="center" wrapText="1"/>
    </xf>
    <xf numFmtId="0" fontId="33" fillId="0" borderId="21" xfId="468" applyFont="1" applyBorder="1">
      <alignment horizontal="center" vertical="center"/>
    </xf>
    <xf numFmtId="49" fontId="33" fillId="0" borderId="23" xfId="469" applyFont="1" applyBorder="1" applyNumberFormat="1">
      <alignment horizontal="center" vertical="center" wrapText="1"/>
    </xf>
    <xf numFmtId="0" fontId="33" fillId="0" borderId="23" xfId="470" applyFont="1" applyBorder="1">
      <alignment vertical="center" wrapText="1"/>
    </xf>
    <xf numFmtId="49" fontId="66" fillId="0" borderId="21" xfId="471" applyFont="1" applyBorder="1" applyNumberFormat="1">
      <alignment horizontal="left" vertical="top" wrapText="1"/>
    </xf>
    <xf numFmtId="0" fontId="33" fillId="0" borderId="23" xfId="472" applyFont="1" applyBorder="1">
      <alignment horizontal="center" vertical="center" wrapText="1"/>
    </xf>
    <xf numFmtId="0" fontId="33" fillId="0" borderId="32" xfId="473" applyFont="1" applyBorder="1">
      <alignment vertical="center" wrapText="1"/>
    </xf>
    <xf numFmtId="0" fontId="33" fillId="0" borderId="30" xfId="474" applyFont="1" applyBorder="1">
      <alignment vertical="center" wrapText="1"/>
    </xf>
    <xf numFmtId="49" fontId="66" fillId="0" borderId="35" xfId="475" applyFont="1" applyBorder="1" applyNumberFormat="1">
      <alignment horizontal="left" vertical="top" wrapText="1"/>
    </xf>
    <xf numFmtId="49" fontId="66" fillId="0" borderId="20" xfId="476" applyFont="1" applyBorder="1" applyNumberFormat="1">
      <alignment horizontal="left" vertical="top" wrapText="1"/>
    </xf>
    <xf numFmtId="49" fontId="33" fillId="0" borderId="32" xfId="477" applyFont="1" applyBorder="1" applyNumberFormat="1">
      <alignment horizontal="center" vertical="center" wrapText="1"/>
    </xf>
    <xf numFmtId="49" fontId="33" fillId="0" borderId="30" xfId="478" applyFont="1" applyBorder="1" applyNumberFormat="1">
      <alignment horizontal="center" vertical="center" wrapText="1"/>
    </xf>
    <xf numFmtId="0" fontId="33" fillId="0" borderId="32" xfId="479" applyFont="1" applyBorder="1">
      <alignment horizontal="center" vertical="center" wrapText="1"/>
    </xf>
    <xf numFmtId="49" fontId="66" fillId="0" borderId="42" xfId="480" applyFont="1" applyBorder="1" applyNumberFormat="1">
      <alignment horizontal="left" vertical="top" wrapText="1"/>
    </xf>
    <xf numFmtId="0" fontId="66" fillId="0" borderId="42" xfId="481" applyFont="1" applyBorder="1">
      <alignment horizontal="left" vertical="top" wrapText="1"/>
    </xf>
    <xf numFmtId="49" fontId="28" fillId="44" borderId="0" xfId="482" applyFont="1" applyFill="1" applyNumberFormat="1">
      <alignment horizontal="center" vertical="center"/>
    </xf>
    <xf numFmtId="49" fontId="27" fillId="0" borderId="23" xfId="483" applyFont="1" applyBorder="1" applyNumberFormat="1">
      <alignment horizontal="center" vertical="top"/>
    </xf>
    <xf numFmtId="49" fontId="37" fillId="44" borderId="0" xfId="484" applyFont="1" applyFill="1" applyNumberFormat="1">
      <alignment horizontal="center" vertical="center" wrapText="1"/>
    </xf>
    <xf numFmtId="0" fontId="23" fillId="45" borderId="23" xfId="485" applyFont="1" applyFill="1" applyBorder="1">
      <alignment horizontal="center" vertical="center"/>
    </xf>
    <xf numFmtId="49" fontId="37" fillId="44" borderId="23" xfId="486" applyFont="1" applyFill="1" applyBorder="1" applyNumberFormat="1">
      <alignment horizontal="center" vertical="center"/>
    </xf>
    <xf numFmtId="49" fontId="37" fillId="46" borderId="23" xfId="487" applyFont="1" applyFill="1" applyBorder="1" applyNumberFormat="1">
      <alignment horizontal="center" vertical="center"/>
    </xf>
    <xf numFmtId="49" fontId="23" fillId="47" borderId="23" xfId="488" applyFont="1" applyFill="1" applyBorder="1" applyNumberFormat="1">
      <alignment horizontal="center" vertical="center"/>
    </xf>
    <xf numFmtId="0" fontId="27" fillId="0" borderId="23" xfId="489" applyFont="1" applyBorder="1">
      <alignment vertical="center"/>
    </xf>
    <xf numFmtId="0" fontId="23" fillId="0" borderId="23" xfId="490" applyFont="1" applyBorder="1">
      <alignment vertical="center"/>
    </xf>
    <xf numFmtId="0" fontId="23" fillId="0" borderId="21" xfId="491" applyFont="1" applyBorder="1">
      <alignment vertical="center"/>
    </xf>
    <xf numFmtId="0" fontId="27" fillId="0" borderId="21" xfId="492" applyFont="1" applyBorder="1">
      <alignment horizontal="left" vertical="center"/>
    </xf>
    <xf numFmtId="49" fontId="27" fillId="0" borderId="46" xfId="493" applyFont="1" applyBorder="1" applyNumberFormat="1">
      <alignment vertical="center"/>
    </xf>
    <xf numFmtId="49" fontId="27" fillId="0" borderId="47" xfId="494" applyFont="1" applyBorder="1" applyNumberFormat="1">
      <alignment vertical="top"/>
    </xf>
    <xf numFmtId="49" fontId="27" fillId="0" borderId="48" xfId="495" applyFont="1" applyBorder="1" applyNumberFormat="1">
      <alignment vertical="top"/>
    </xf>
    <xf numFmtId="0" fontId="23" fillId="0" borderId="20" xfId="496" applyFont="1" applyBorder="1">
      <alignment vertical="center"/>
    </xf>
    <xf numFmtId="0" fontId="23" fillId="0" borderId="23" xfId="497" applyFont="1" applyBorder="1">
      <alignment horizontal="right" vertical="top"/>
    </xf>
    <xf numFmtId="0" fontId="23" fillId="0" borderId="23" xfId="498" applyFont="1" applyBorder="1">
      <alignment vertical="top"/>
    </xf>
    <xf numFmtId="0" fontId="27" fillId="0" borderId="20" xfId="499" applyFont="1" applyBorder="1">
      <alignment vertical="center"/>
    </xf>
    <xf numFmtId="49" fontId="27" fillId="0" borderId="23" xfId="500" applyFont="1" applyBorder="1" applyNumberFormat="1">
      <alignment vertical="center"/>
    </xf>
    <xf numFmtId="0" fontId="23" fillId="0" borderId="0" xfId="501" applyFont="1">
      <alignment vertical="top"/>
    </xf>
    <xf numFmtId="0" fontId="27" fillId="0" borderId="23" xfId="502" applyFont="1" applyBorder="1">
      <alignment vertical="top"/>
    </xf>
    <xf numFmtId="0" fontId="23" fillId="48" borderId="0" xfId="503" applyFont="1" applyFill="1">
      <alignment horizontal="right" vertical="center"/>
    </xf>
    <xf numFmtId="0" fontId="23" fillId="48" borderId="0" xfId="504" applyFont="1" applyFill="1">
      <alignment horizontal="left" vertical="center"/>
    </xf>
    <xf numFmtId="0" fontId="23" fillId="0" borderId="0" xfId="505" applyFont="1">
      <alignment horizontal="right" vertical="top"/>
    </xf>
    <xf numFmtId="49" fontId="27" fillId="0" borderId="21" xfId="506" applyFont="1" applyBorder="1" applyNumberFormat="1">
      <alignment vertical="top"/>
    </xf>
    <xf numFmtId="0" fontId="67" fillId="48" borderId="0" xfId="507" applyFont="1" applyFill="1">
      <alignment horizontal="left" vertical="center"/>
    </xf>
    <xf numFmtId="49" fontId="23" fillId="0" borderId="21" xfId="508" applyFont="1" applyBorder="1" applyNumberFormat="1">
      <alignment vertical="top"/>
    </xf>
    <xf numFmtId="49" fontId="27" fillId="0" borderId="23" xfId="509" applyFont="1" applyBorder="1" applyNumberFormat="1">
      <alignment horizontal="right" vertical="top"/>
    </xf>
    <xf numFmtId="0" fontId="23" fillId="0" borderId="21" xfId="510" applyFont="1" applyBorder="1">
      <alignment horizontal="left" vertical="center"/>
    </xf>
    <xf numFmtId="49" fontId="27" fillId="0" borderId="32" xfId="511" applyFont="1" applyBorder="1" applyNumberFormat="1">
      <alignment horizontal="right" vertical="top"/>
    </xf>
    <xf numFmtId="0" fontId="23" fillId="0" borderId="32" xfId="512" applyFont="1" applyBorder="1">
      <alignment vertical="top"/>
    </xf>
    <xf numFmtId="0" fontId="27" fillId="0" borderId="32" xfId="513" applyFont="1" applyBorder="1">
      <alignment vertical="center"/>
    </xf>
    <xf numFmtId="49" fontId="27" fillId="0" borderId="49" xfId="514" applyFont="1" applyBorder="1" applyNumberFormat="1">
      <alignment horizontal="center" vertical="center"/>
    </xf>
    <xf numFmtId="49" fontId="27" fillId="0" borderId="23" xfId="515" applyFont="1" applyBorder="1" applyNumberFormat="1">
      <alignment horizontal="right" vertical="center"/>
    </xf>
    <xf numFmtId="49" fontId="27" fillId="0" borderId="23" xfId="516" applyFont="1" applyBorder="1" applyNumberFormat="1">
      <alignment vertical="top"/>
    </xf>
    <xf numFmtId="0" fontId="27" fillId="48" borderId="0" xfId="517" applyFont="1" applyFill="1">
      <alignment horizontal="left" vertical="center"/>
    </xf>
    <xf numFmtId="0" fontId="23" fillId="48" borderId="50" xfId="518" applyFont="1" applyFill="1" applyBorder="1">
      <alignment horizontal="center"/>
    </xf>
    <xf numFmtId="49" fontId="68" fillId="0" borderId="48" xfId="519" applyFont="1" applyBorder="1" applyNumberFormat="1">
      <alignment vertical="top"/>
    </xf>
    <xf numFmtId="49" fontId="49" fillId="49" borderId="0" xfId="520" applyFont="1" applyFill="1" applyNumberFormat="1">
      <alignment vertical="center" wrapText="1"/>
    </xf>
    <xf numFmtId="0" fontId="23" fillId="0" borderId="50" xfId="521" applyFont="1" applyBorder="1">
      <alignment horizontal="center"/>
    </xf>
    <xf numFmtId="49" fontId="28" fillId="44" borderId="0" xfId="522" applyFont="1" applyFill="1" applyNumberFormat="1">
      <alignment horizontal="center" vertical="center" wrapText="1"/>
    </xf>
    <xf numFmtId="49" fontId="27" fillId="48" borderId="0" xfId="523" applyFont="1" applyFill="1" applyNumberFormat="1">
      <alignment horizontal="center" vertical="center"/>
    </xf>
    <xf numFmtId="0" fontId="47" fillId="0" borderId="0" xfId="524" applyFont="1">
      <alignment horizontal="center" vertical="center" wrapText="1"/>
    </xf>
    <xf numFmtId="49" fontId="23" fillId="35" borderId="49" xfId="525" applyFont="1" applyFill="1" applyBorder="1" applyNumberFormat="1">
      <alignment horizontal="left" vertical="center"/>
      <protection locked="0"/>
    </xf>
    <xf numFmtId="49" fontId="23" fillId="0" borderId="49" xfId="526" applyFont="1" applyBorder="1" applyNumberFormat="1">
      <alignment horizontal="right" vertical="center"/>
    </xf>
    <xf numFmtId="0" fontId="23" fillId="37" borderId="49" xfId="527" applyFont="1" applyFill="1" applyBorder="1">
      <alignment horizontal="center" vertical="center"/>
    </xf>
    <xf numFmtId="49" fontId="23" fillId="0" borderId="49" xfId="528" applyFont="1" applyBorder="1" applyNumberFormat="1">
      <alignment horizontal="center" vertical="center"/>
    </xf>
    <xf numFmtId="0" fontId="20" fillId="0" borderId="51" xfId="529" applyFont="1" applyBorder="1">
      <alignment horizontal="center" vertical="center"/>
    </xf>
    <xf numFmtId="0" fontId="23" fillId="0" borderId="51" xfId="530" applyFont="1" applyBorder="1">
      <alignment horizontal="center" vertical="center"/>
    </xf>
    <xf numFmtId="49" fontId="28" fillId="44" borderId="23" xfId="531" applyFont="1" applyFill="1" applyBorder="1" applyNumberFormat="1">
      <alignment horizontal="right" vertical="center"/>
    </xf>
    <xf numFmtId="49" fontId="27" fillId="35" borderId="33" xfId="532" applyFont="1" applyFill="1" applyBorder="1" applyNumberFormat="1">
      <alignment vertical="top"/>
      <protection locked="0"/>
    </xf>
    <xf numFmtId="0" fontId="23" fillId="43" borderId="23" xfId="533" applyFont="1" applyFill="1" applyBorder="1">
      <alignment horizontal="right" vertical="center"/>
    </xf>
    <xf numFmtId="49" fontId="27" fillId="43" borderId="30" xfId="534" applyFont="1" applyFill="1" applyBorder="1" applyNumberFormat="1">
      <alignment vertical="top"/>
    </xf>
    <xf numFmtId="49" fontId="27" fillId="43" borderId="23" xfId="535" applyFont="1" applyFill="1" applyBorder="1" applyNumberFormat="1">
      <alignment vertical="top"/>
    </xf>
    <xf numFmtId="0" fontId="27" fillId="0" borderId="0" xfId="536" applyFont="1">
      <alignment vertical="top"/>
    </xf>
    <xf numFmtId="49" fontId="27" fillId="0" borderId="21" xfId="537" applyFont="1" applyBorder="1" applyNumberFormat="1">
      <alignment horizontal="center" vertical="top"/>
    </xf>
    <xf numFmtId="49" fontId="27" fillId="0" borderId="20" xfId="538" applyFont="1" applyBorder="1" applyNumberFormat="1">
      <alignment horizontal="center" vertical="top"/>
    </xf>
    <xf numFmtId="0" fontId="27" fillId="37" borderId="35" xfId="539" applyFont="1" applyFill="1" applyBorder="1">
      <alignment horizontal="center" vertical="top"/>
    </xf>
    <xf numFmtId="0" fontId="27" fillId="37" borderId="35" xfId="540" applyFont="1" applyFill="1" applyBorder="1">
      <alignment horizontal="left" vertical="top"/>
    </xf>
    <xf numFmtId="0" fontId="23" fillId="0" borderId="52" xfId="541" applyFont="1" applyBorder="1">
      <alignment horizontal="center" vertical="center"/>
    </xf>
    <xf numFmtId="0" fontId="23" fillId="0" borderId="53" xfId="542" applyFont="1" applyBorder="1">
      <alignment horizontal="center" vertical="center"/>
    </xf>
    <xf numFmtId="0" fontId="27" fillId="0" borderId="23" xfId="543" applyFont="1" applyBorder="1">
      <alignment horizontal="left" vertical="top"/>
    </xf>
    <xf numFmtId="0" fontId="23" fillId="0" borderId="54" xfId="544" applyFont="1" applyBorder="1">
      <alignment horizontal="center" vertical="center"/>
    </xf>
    <xf numFmtId="49" fontId="28" fillId="44" borderId="21" xfId="545" applyFont="1" applyFill="1" applyBorder="1" applyNumberFormat="1">
      <alignment horizontal="right" vertical="center"/>
    </xf>
    <xf numFmtId="49" fontId="23" fillId="0" borderId="0" xfId="546" applyFont="1" applyNumberFormat="1">
      <alignment vertical="center"/>
    </xf>
    <xf numFmtId="0" fontId="23" fillId="48" borderId="0" xfId="547" applyFont="1" applyFill="1">
      <alignment horizontal="right" vertical="top" wrapText="1"/>
    </xf>
    <xf numFmtId="0" fontId="27" fillId="0" borderId="0" xfId="548" applyFont="1">
      <alignment horizontal="left" vertical="top" wrapText="1"/>
    </xf>
    <xf numFmtId="49" fontId="23" fillId="50" borderId="0" xfId="549" applyFont="1" applyFill="1" applyNumberFormat="1">
      <alignment vertical="top"/>
    </xf>
    <xf numFmtId="0" fontId="27" fillId="39" borderId="23" xfId="550" applyFont="1" applyFill="1" applyBorder="1">
      <alignment horizontal="center" vertical="center"/>
    </xf>
    <xf numFmtId="0" fontId="50" fillId="39" borderId="0" xfId="551" applyFont="1" applyFill="1">
      <alignment horizontal="center"/>
    </xf>
    <xf numFmtId="0" fontId="47" fillId="0" borderId="0" xfId="552" applyFont="1">
      <alignment vertical="top" wrapText="1"/>
    </xf>
    <xf numFmtId="0" fontId="37" fillId="0" borderId="30" xfId="553" applyFont="1" applyBorder="1">
      <alignment horizontal="center" vertical="center" wrapText="1"/>
    </xf>
    <xf numFmtId="0" fontId="37" fillId="0" borderId="23" xfId="554" applyFont="1" applyBorder="1">
      <alignment horizontal="center" vertical="center" wrapText="1"/>
    </xf>
    <xf numFmtId="14" fontId="27" fillId="40" borderId="23" xfId="555" applyFont="1" applyFill="1" applyBorder="1" applyNumberFormat="1">
      <alignment horizontal="left" vertical="center" wrapText="1" indent="1"/>
    </xf>
    <xf numFmtId="49" fontId="27" fillId="37" borderId="23" xfId="556" applyFont="1" applyFill="1" applyBorder="1" applyNumberFormat="1">
      <alignment horizontal="center" vertical="center" wrapText="1"/>
    </xf>
    <xf numFmtId="49" fontId="59" fillId="50" borderId="0" xfId="557" applyFont="1" applyFill="1" applyNumberFormat="1">
      <alignment vertical="top"/>
    </xf>
    <xf numFmtId="0" fontId="47" fillId="0" borderId="29" xfId="558" applyFont="1" applyBorder="1">
      <alignment horizontal="center" vertical="center" wrapText="1"/>
    </xf>
    <xf numFmtId="14" fontId="54" fillId="0" borderId="32" xfId="559" applyFont="1" applyBorder="1" applyNumberFormat="1">
      <alignment horizontal="center" vertical="center" wrapText="1"/>
    </xf>
    <xf numFmtId="0" fontId="53" fillId="0" borderId="23" xfId="560" applyFont="1" applyBorder="1">
      <alignment horizontal="left" vertical="center" wrapText="1" indent="1"/>
    </xf>
    <xf numFmtId="0" fontId="54" fillId="0" borderId="32" xfId="561" applyFont="1" applyBorder="1">
      <alignment horizontal="center" vertical="center" wrapText="1"/>
    </xf>
    <xf numFmtId="49" fontId="53" fillId="0" borderId="23" xfId="562" applyFont="1" applyBorder="1" applyNumberFormat="1">
      <alignment horizontal="left" vertical="center" wrapText="1" indent="1"/>
    </xf>
    <xf numFmtId="14" fontId="54" fillId="0" borderId="42" xfId="563" applyFont="1" applyBorder="1" applyNumberFormat="1">
      <alignment horizontal="center" vertical="center" wrapText="1"/>
    </xf>
    <xf numFmtId="0" fontId="53" fillId="0" borderId="23" xfId="564" applyFont="1" applyBorder="1">
      <alignment horizontal="left" vertical="top" indent="1"/>
    </xf>
    <xf numFmtId="0" fontId="27" fillId="39" borderId="0" xfId="565" applyFont="1" applyFill="1">
      <alignment horizontal="center" vertical="top" wrapText="1"/>
    </xf>
    <xf numFmtId="0" fontId="27" fillId="39" borderId="21" xfId="566" applyFont="1" applyFill="1" applyBorder="1">
      <alignment horizontal="center" vertical="center" wrapText="1"/>
    </xf>
    <xf numFmtId="0" fontId="44" fillId="39" borderId="23" xfId="567" applyFont="1" applyFill="1" applyBorder="1">
      <alignment horizontal="center" vertical="center" wrapText="1"/>
    </xf>
    <xf numFmtId="14" fontId="27" fillId="40" borderId="34" xfId="568" applyFont="1" applyFill="1" applyBorder="1" applyNumberFormat="1">
      <alignment horizontal="left" vertical="center" wrapText="1"/>
    </xf>
    <xf numFmtId="49" fontId="69" fillId="38" borderId="23" xfId="569" applyFont="1" applyFill="1" applyBorder="1" applyNumberFormat="1">
      <alignment horizontal="left" vertical="center" wrapText="1"/>
      <protection locked="0"/>
    </xf>
    <xf numFmtId="49" fontId="37" fillId="0" borderId="0" xfId="570" applyFont="1" applyNumberFormat="1">
      <alignment vertical="top"/>
    </xf>
    <xf numFmtId="438" fontId="23" fillId="38" borderId="23" xfId="571" applyFont="1" applyFill="1" applyBorder="1" applyNumberFormat="1">
      <alignment horizontal="center" vertical="center" wrapText="1"/>
      <protection locked="0"/>
    </xf>
    <xf numFmtId="49" fontId="23" fillId="38" borderId="23" xfId="572" applyFont="1" applyFill="1" applyBorder="1" applyNumberFormat="1">
      <alignment horizontal="center" vertical="center" wrapText="1"/>
      <protection locked="0"/>
    </xf>
    <xf numFmtId="0" fontId="70" fillId="39" borderId="0" xfId="573" applyFont="1" applyFill="1">
      <alignment vertical="center" wrapText="1"/>
    </xf>
    <xf numFmtId="0" fontId="23" fillId="38" borderId="21" xfId="574" applyFont="1" applyFill="1" applyBorder="1">
      <alignment horizontal="left" vertical="center" wrapText="1" indent="2"/>
      <protection locked="0"/>
    </xf>
    <xf numFmtId="0" fontId="50" fillId="0" borderId="29" xfId="575" applyFont="1" applyBorder="1">
      <alignment horizontal="center" vertical="center" wrapText="1"/>
    </xf>
    <xf numFmtId="49" fontId="27" fillId="0" borderId="23" xfId="576" applyFont="1" applyBorder="1" applyNumberFormat="1">
      <alignment horizontal="center" vertical="top" wrapText="1"/>
    </xf>
    <xf numFmtId="0" fontId="23" fillId="37" borderId="23" xfId="577" applyFont="1" applyFill="1" applyBorder="1">
      <alignment horizontal="left" vertical="top" wrapText="1" indent="1"/>
    </xf>
    <xf numFmtId="49" fontId="27" fillId="40" borderId="32" xfId="578" applyFont="1" applyFill="1" applyBorder="1" applyNumberFormat="1">
      <alignment horizontal="center" vertical="top" wrapText="1"/>
    </xf>
    <xf numFmtId="438" fontId="23" fillId="38" borderId="23" xfId="579" applyFont="1" applyFill="1" applyBorder="1" applyNumberFormat="1">
      <alignment horizontal="center" vertical="top" wrapText="1"/>
      <protection locked="0"/>
    </xf>
    <xf numFmtId="438" fontId="23" fillId="35" borderId="23" xfId="580" applyFont="1" applyFill="1" applyBorder="1" applyNumberFormat="1">
      <alignment horizontal="center" vertical="top" wrapText="1"/>
      <protection locked="0"/>
    </xf>
    <xf numFmtId="49" fontId="27" fillId="40" borderId="23" xfId="581" applyFont="1" applyFill="1" applyBorder="1" applyNumberFormat="1">
      <alignment horizontal="left" vertical="top" wrapText="1"/>
    </xf>
    <xf numFmtId="49" fontId="27" fillId="38" borderId="23" xfId="582" applyFont="1" applyFill="1" applyBorder="1" applyNumberFormat="1">
      <alignment horizontal="left" vertical="top" wrapText="1"/>
      <protection locked="0"/>
    </xf>
    <xf numFmtId="49" fontId="23" fillId="37" borderId="23" xfId="583" applyFont="1" applyFill="1" applyBorder="1" applyNumberFormat="1">
      <alignment horizontal="center" vertical="top" wrapText="1"/>
    </xf>
    <xf numFmtId="0" fontId="27" fillId="37" borderId="23" xfId="584" applyFont="1" applyFill="1" applyBorder="1">
      <alignment horizontal="center" vertical="top" wrapText="1"/>
    </xf>
    <xf numFmtId="0" fontId="27" fillId="35" borderId="23" xfId="585" applyFont="1" applyFill="1" applyBorder="1">
      <alignment horizontal="left" vertical="top" wrapText="1"/>
      <protection locked="0"/>
    </xf>
    <xf numFmtId="49" fontId="27" fillId="40" borderId="23" xfId="586" applyFont="1" applyFill="1" applyBorder="1" applyNumberFormat="1">
      <alignment horizontal="center" vertical="top" wrapText="1"/>
    </xf>
    <xf numFmtId="49" fontId="27" fillId="38" borderId="32" xfId="587" applyFont="1" applyFill="1" applyBorder="1" applyNumberFormat="1">
      <alignment horizontal="left" vertical="center" wrapText="1" indent="1"/>
      <protection locked="0"/>
    </xf>
    <xf numFmtId="0" fontId="27" fillId="0" borderId="29" xfId="588" applyFont="1" applyBorder="1">
      <alignment vertical="top" wrapText="1"/>
    </xf>
    <xf numFmtId="49" fontId="27" fillId="40" borderId="30" xfId="589" applyFont="1" applyFill="1" applyBorder="1" applyNumberFormat="1">
      <alignment horizontal="center" vertical="top" wrapText="1"/>
    </xf>
    <xf numFmtId="49" fontId="23" fillId="38" borderId="23" xfId="590" applyFont="1" applyFill="1" applyBorder="1" applyNumberFormat="1">
      <alignment horizontal="center" vertical="top" wrapText="1"/>
      <protection locked="0"/>
    </xf>
    <xf numFmtId="49" fontId="23" fillId="35" borderId="23" xfId="591" applyFont="1" applyFill="1" applyBorder="1" applyNumberFormat="1">
      <alignment horizontal="center" vertical="top" wrapText="1"/>
      <protection locked="0"/>
    </xf>
    <xf numFmtId="49" fontId="27" fillId="40" borderId="21" xfId="592" applyFont="1" applyFill="1" applyBorder="1" applyNumberFormat="1">
      <alignment horizontal="center" vertical="top" wrapText="1"/>
    </xf>
    <xf numFmtId="0" fontId="27" fillId="41" borderId="21" xfId="593" applyFont="1" applyFill="1" applyBorder="1">
      <alignment vertical="center" wrapText="1"/>
    </xf>
    <xf numFmtId="0" fontId="27" fillId="41" borderId="25" xfId="594" applyFont="1" applyFill="1" applyBorder="1">
      <alignment vertical="center" wrapText="1"/>
    </xf>
    <xf numFmtId="49" fontId="27" fillId="0" borderId="42" xfId="595" applyFont="1" applyBorder="1" applyNumberFormat="1">
      <alignment horizontal="center" vertical="top" wrapText="1"/>
    </xf>
    <xf numFmtId="0" fontId="23" fillId="37" borderId="42" xfId="596" applyFont="1" applyFill="1" applyBorder="1">
      <alignment horizontal="left" vertical="top" wrapText="1" indent="1"/>
    </xf>
    <xf numFmtId="49" fontId="27" fillId="40" borderId="42" xfId="597" applyFont="1" applyFill="1" applyBorder="1" applyNumberFormat="1">
      <alignment horizontal="center" vertical="top" wrapText="1"/>
    </xf>
    <xf numFmtId="49" fontId="23" fillId="38" borderId="42" xfId="598" applyFont="1" applyFill="1" applyBorder="1" applyNumberFormat="1">
      <alignment horizontal="center" vertical="top" wrapText="1"/>
      <protection locked="0"/>
    </xf>
    <xf numFmtId="49" fontId="23" fillId="35" borderId="42" xfId="599" applyFont="1" applyFill="1" applyBorder="1" applyNumberFormat="1">
      <alignment horizontal="center" vertical="top" wrapText="1"/>
      <protection locked="0"/>
    </xf>
    <xf numFmtId="49" fontId="27" fillId="40" borderId="42" xfId="600" applyFont="1" applyFill="1" applyBorder="1" applyNumberFormat="1">
      <alignment horizontal="left" vertical="top" wrapText="1"/>
    </xf>
    <xf numFmtId="49" fontId="27" fillId="38" borderId="42" xfId="601" applyFont="1" applyFill="1" applyBorder="1" applyNumberFormat="1">
      <alignment horizontal="left" vertical="top" wrapText="1"/>
      <protection locked="0"/>
    </xf>
    <xf numFmtId="49" fontId="23" fillId="37" borderId="42" xfId="602" applyFont="1" applyFill="1" applyBorder="1" applyNumberFormat="1">
      <alignment horizontal="center" vertical="top" wrapText="1"/>
    </xf>
    <xf numFmtId="0" fontId="27" fillId="37" borderId="42" xfId="603" applyFont="1" applyFill="1" applyBorder="1">
      <alignment horizontal="center" vertical="top" wrapText="1"/>
    </xf>
    <xf numFmtId="0" fontId="27" fillId="35" borderId="42" xfId="604" applyFont="1" applyFill="1" applyBorder="1">
      <alignment horizontal="left" vertical="top" wrapText="1"/>
      <protection locked="0"/>
    </xf>
    <xf numFmtId="0" fontId="71" fillId="0" borderId="55" xfId="605" applyFont="1" applyBorder="1">
      <alignment horizontal="left" vertical="center" indent="1"/>
    </xf>
    <xf numFmtId="0" fontId="71" fillId="0" borderId="56" xfId="606" applyFont="1" applyBorder="1">
      <alignment horizontal="left" vertical="center" indent="1"/>
    </xf>
    <xf numFmtId="0" fontId="23" fillId="0" borderId="56" xfId="607" applyFont="1" applyBorder="1">
      <alignment horizontal="left" vertical="center" wrapText="1"/>
    </xf>
    <xf numFmtId="0" fontId="27" fillId="0" borderId="56" xfId="608" applyFont="1" applyBorder="1">
      <alignment vertical="center" wrapText="1"/>
    </xf>
    <xf numFmtId="0" fontId="27" fillId="0" borderId="57" xfId="609" applyFont="1" applyBorder="1">
      <alignment vertical="center" wrapText="1"/>
    </xf>
    <xf numFmtId="0" fontId="27" fillId="0" borderId="58" xfId="610" applyFont="1" applyBorder="1">
      <alignment vertical="center" wrapText="1"/>
    </xf>
    <xf numFmtId="0" fontId="27" fillId="0" borderId="28" xfId="611" applyFont="1" applyBorder="1">
      <alignment vertical="center" wrapText="1"/>
    </xf>
    <xf numFmtId="49" fontId="37" fillId="0" borderId="20" xfId="612" applyFont="1" applyBorder="1" applyNumberFormat="1">
      <alignment horizontal="center" vertical="center" wrapText="1"/>
    </xf>
    <xf numFmtId="49" fontId="37" fillId="0" borderId="20" xfId="613" applyFont="1" applyBorder="1" applyNumberFormat="1">
      <alignment horizontal="left" vertical="center" wrapText="1"/>
    </xf>
    <xf numFmtId="49" fontId="37" fillId="0" borderId="21" xfId="614" applyFont="1" applyBorder="1" applyNumberFormat="1">
      <alignment horizontal="center" vertical="center" wrapText="1"/>
    </xf>
    <xf numFmtId="49" fontId="37" fillId="0" borderId="23" xfId="615" applyFont="1" applyBorder="1" applyNumberFormat="1">
      <alignment horizontal="center" vertical="center" wrapText="1"/>
    </xf>
    <xf numFmtId="49" fontId="72" fillId="0" borderId="44" xfId="616" applyFont="1" applyBorder="1" applyNumberFormat="1">
      <alignment horizontal="left" vertical="center" indent="1"/>
    </xf>
    <xf numFmtId="49" fontId="72" fillId="0" borderId="44" xfId="617" applyFont="1" applyBorder="1" applyNumberFormat="1">
      <alignment horizontal="center" vertical="center"/>
    </xf>
    <xf numFmtId="3" fontId="37" fillId="0" borderId="23" xfId="618" applyFont="1" applyBorder="1" applyNumberFormat="1">
      <alignment horizontal="center" vertical="center" wrapText="1"/>
    </xf>
    <xf numFmtId="49" fontId="73" fillId="0" borderId="20" xfId="619" applyFont="1" applyBorder="1" applyNumberFormat="1">
      <alignment horizontal="center" vertical="center" wrapText="1"/>
    </xf>
    <xf numFmtId="0" fontId="72" fillId="0" borderId="23" xfId="620" applyFont="1" applyBorder="1">
      <alignment horizontal="center" vertical="center"/>
    </xf>
    <xf numFmtId="49" fontId="37" fillId="0" borderId="32" xfId="621" applyFont="1" applyBorder="1" applyNumberFormat="1">
      <alignment horizontal="left" vertical="center" wrapText="1" indent="1"/>
    </xf>
    <xf numFmtId="49" fontId="72" fillId="0" borderId="21" xfId="622" applyFont="1" applyBorder="1" applyNumberFormat="1">
      <alignment horizontal="left" vertical="center" indent="1"/>
    </xf>
    <xf numFmtId="49" fontId="72" fillId="0" borderId="25" xfId="623" applyFont="1" applyBorder="1" applyNumberFormat="1">
      <alignment horizontal="left" vertical="center" indent="1"/>
    </xf>
    <xf numFmtId="49" fontId="72" fillId="0" borderId="25" xfId="624" applyFont="1" applyBorder="1" applyNumberFormat="1">
      <alignment vertical="top" wrapText="1"/>
    </xf>
    <xf numFmtId="49" fontId="72" fillId="0" borderId="20" xfId="625" applyFont="1" applyBorder="1" applyNumberFormat="1">
      <alignment vertical="top" wrapText="1"/>
    </xf>
    <xf numFmtId="49" fontId="37" fillId="0" borderId="42" xfId="626" applyFont="1" applyBorder="1" applyNumberFormat="1">
      <alignment horizontal="left" vertical="center" wrapText="1" indent="1"/>
    </xf>
    <xf numFmtId="0" fontId="72" fillId="0" borderId="23" xfId="627" applyFont="1" applyBorder="1">
      <alignment horizontal="left" vertical="center" wrapText="1" indent="1"/>
    </xf>
    <xf numFmtId="4" fontId="37" fillId="0" borderId="49" xfId="628" applyFont="1" applyBorder="1" applyNumberFormat="1">
      <alignment horizontal="right" vertical="center" wrapText="1"/>
    </xf>
    <xf numFmtId="49" fontId="37" fillId="0" borderId="30" xfId="629" applyFont="1" applyBorder="1" applyNumberFormat="1">
      <alignment horizontal="left" vertical="center" wrapText="1" indent="1"/>
    </xf>
    <xf numFmtId="49" fontId="37" fillId="0" borderId="25" xfId="630" applyFont="1" applyBorder="1" applyNumberFormat="1">
      <alignment horizontal="left" vertical="center" indent="1"/>
    </xf>
    <xf numFmtId="49" fontId="72" fillId="0" borderId="59" xfId="631" applyFont="1" applyBorder="1" applyNumberFormat="1">
      <alignment vertical="top" wrapText="1"/>
    </xf>
    <xf numFmtId="49" fontId="72" fillId="0" borderId="59" xfId="632" applyFont="1" applyBorder="1" applyNumberFormat="1">
      <alignment horizontal="left" vertical="center" indent="1"/>
    </xf>
    <xf numFmtId="49" fontId="27" fillId="37" borderId="60" xfId="633" applyFont="1" applyFill="1" applyBorder="1" applyNumberFormat="1">
      <alignment horizontal="center" vertical="center" wrapText="1"/>
    </xf>
    <xf numFmtId="0" fontId="23" fillId="41" borderId="61" xfId="634" applyFont="1" applyFill="1" applyBorder="1">
      <alignment horizontal="left" vertical="center"/>
    </xf>
    <xf numFmtId="49" fontId="48" fillId="41" borderId="62" xfId="635" applyFont="1" applyFill="1" applyBorder="1" applyNumberFormat="1">
      <alignment horizontal="left" vertical="center" indent="1"/>
    </xf>
    <xf numFmtId="0" fontId="27" fillId="41" borderId="61" xfId="636" applyFont="1" applyFill="1" applyBorder="1">
      <alignment vertical="center" wrapText="1"/>
    </xf>
    <xf numFmtId="0" fontId="27" fillId="41" borderId="62" xfId="637" applyFont="1" applyFill="1" applyBorder="1">
      <alignment vertical="center" wrapText="1"/>
    </xf>
    <xf numFmtId="49" fontId="23" fillId="37" borderId="42" xfId="638" applyFont="1" applyFill="1" applyBorder="1" applyNumberFormat="1">
      <alignment vertical="top"/>
    </xf>
    <xf numFmtId="49" fontId="23" fillId="0" borderId="42" xfId="639" applyFont="1" applyBorder="1" applyNumberFormat="1">
      <alignment vertical="top"/>
    </xf>
    <xf numFmtId="49" fontId="27" fillId="40" borderId="32" xfId="640" applyFont="1" applyFill="1" applyBorder="1" applyNumberFormat="1">
      <alignment vertical="center" wrapText="1"/>
    </xf>
    <xf numFmtId="49" fontId="23" fillId="38" borderId="42" xfId="641" applyFont="1" applyFill="1" applyBorder="1" applyNumberFormat="1">
      <alignment vertical="top"/>
      <protection locked="0"/>
    </xf>
    <xf numFmtId="49" fontId="74" fillId="0" borderId="23" xfId="642" applyFont="1" applyBorder="1" applyNumberFormat="1">
      <alignment horizontal="center" vertical="center" wrapText="1"/>
    </xf>
    <xf numFmtId="0" fontId="49" fillId="0" borderId="23" xfId="643" applyFont="1" applyBorder="1">
      <alignment horizontal="center" vertical="center"/>
    </xf>
    <xf numFmtId="49" fontId="27" fillId="40" borderId="32" xfId="644" applyFont="1" applyFill="1" applyBorder="1" applyNumberFormat="1">
      <alignment horizontal="left" vertical="center" wrapText="1" indent="1"/>
    </xf>
    <xf numFmtId="49" fontId="75" fillId="41" borderId="21" xfId="645" applyFont="1" applyFill="1" applyBorder="1" applyNumberFormat="1">
      <alignment horizontal="left" vertical="center" indent="1"/>
    </xf>
    <xf numFmtId="49" fontId="75" fillId="41" borderId="25" xfId="646" applyFont="1" applyFill="1" applyBorder="1" applyNumberFormat="1">
      <alignment horizontal="left" vertical="center" indent="1"/>
    </xf>
    <xf numFmtId="49" fontId="49" fillId="41" borderId="25" xfId="647" applyFont="1" applyFill="1" applyBorder="1" applyNumberFormat="1">
      <alignment vertical="top" wrapText="1"/>
    </xf>
    <xf numFmtId="49" fontId="23" fillId="38" borderId="32" xfId="648" applyFont="1" applyFill="1" applyBorder="1" applyNumberFormat="1">
      <alignment vertical="top"/>
      <protection locked="0"/>
    </xf>
    <xf numFmtId="14" fontId="27" fillId="40" borderId="42" xfId="649" applyFont="1" applyFill="1" applyBorder="1" applyNumberFormat="1">
      <alignment horizontal="left" vertical="center" wrapText="1" indent="1"/>
    </xf>
    <xf numFmtId="14" fontId="27" fillId="40" borderId="28" xfId="650" applyFont="1" applyFill="1" applyBorder="1" applyNumberFormat="1">
      <alignment horizontal="left" vertical="center" wrapText="1" indent="1"/>
    </xf>
    <xf numFmtId="49" fontId="27" fillId="40" borderId="42" xfId="651" applyFont="1" applyFill="1" applyBorder="1" applyNumberFormat="1">
      <alignment vertical="center" wrapText="1"/>
    </xf>
    <xf numFmtId="49" fontId="27" fillId="40" borderId="42" xfId="652" applyFont="1" applyFill="1" applyBorder="1" applyNumberFormat="1">
      <alignment horizontal="left" vertical="center" wrapText="1" indent="1"/>
    </xf>
    <xf numFmtId="49" fontId="27" fillId="37" borderId="23" xfId="653" applyFont="1" applyFill="1" applyBorder="1" applyNumberFormat="1">
      <alignment horizontal="left" vertical="center" wrapText="1"/>
    </xf>
    <xf numFmtId="0" fontId="49" fillId="40" borderId="23" xfId="654" applyFont="1" applyFill="1" applyBorder="1">
      <alignment horizontal="left" vertical="center" wrapText="1" indent="1"/>
    </xf>
    <xf numFmtId="4" fontId="27" fillId="38" borderId="49" xfId="655" applyFont="1" applyFill="1" applyBorder="1" applyNumberFormat="1">
      <alignment horizontal="right" vertical="center" wrapText="1"/>
      <protection locked="0"/>
    </xf>
    <xf numFmtId="4" fontId="27" fillId="38" borderId="54" xfId="656" applyFont="1" applyFill="1" applyBorder="1" applyNumberFormat="1">
      <alignment horizontal="right" vertical="center" wrapText="1"/>
      <protection locked="0"/>
    </xf>
    <xf numFmtId="49" fontId="27" fillId="40" borderId="30" xfId="657" applyFont="1" applyFill="1" applyBorder="1" applyNumberFormat="1">
      <alignment vertical="center" wrapText="1"/>
    </xf>
    <xf numFmtId="49" fontId="27" fillId="40" borderId="30" xfId="658" applyFont="1" applyFill="1" applyBorder="1" applyNumberFormat="1">
      <alignment horizontal="left" vertical="center" wrapText="1" indent="1"/>
    </xf>
    <xf numFmtId="49" fontId="23" fillId="38" borderId="30" xfId="659" applyFont="1" applyFill="1" applyBorder="1" applyNumberFormat="1">
      <alignment vertical="top"/>
      <protection locked="0"/>
    </xf>
    <xf numFmtId="49" fontId="74" fillId="0" borderId="42" xfId="660" applyFont="1" applyBorder="1" applyNumberFormat="1">
      <alignment horizontal="center" vertical="top" wrapText="1"/>
    </xf>
    <xf numFmtId="0" fontId="49" fillId="0" borderId="20" xfId="661" applyFont="1" applyBorder="1">
      <alignment horizontal="center" vertical="center"/>
    </xf>
    <xf numFmtId="49" fontId="27" fillId="40" borderId="20" xfId="662" applyFont="1" applyFill="1" applyBorder="1" applyNumberFormat="1">
      <alignment horizontal="left" vertical="center" wrapText="1"/>
    </xf>
    <xf numFmtId="49" fontId="75" fillId="41" borderId="43" xfId="663" applyFont="1" applyFill="1" applyBorder="1" applyNumberFormat="1">
      <alignment horizontal="left" vertical="center" indent="1"/>
    </xf>
    <xf numFmtId="49" fontId="72" fillId="41" borderId="44" xfId="664" applyFont="1" applyFill="1" applyBorder="1" applyNumberFormat="1">
      <alignment horizontal="center" vertical="center"/>
    </xf>
    <xf numFmtId="49" fontId="75" fillId="41" borderId="44" xfId="665" applyFont="1" applyFill="1" applyBorder="1" applyNumberFormat="1">
      <alignment horizontal="left" vertical="center" indent="1"/>
    </xf>
    <xf numFmtId="3" fontId="27" fillId="38" borderId="23" xfId="666" applyFont="1" applyFill="1" applyBorder="1" applyNumberFormat="1">
      <alignment horizontal="center" vertical="center" wrapText="1"/>
      <protection locked="0"/>
    </xf>
    <xf numFmtId="49" fontId="27" fillId="40" borderId="21" xfId="667" applyFont="1" applyFill="1" applyBorder="1" applyNumberFormat="1">
      <alignment horizontal="center" vertical="center" wrapText="1"/>
    </xf>
    <xf numFmtId="49" fontId="49" fillId="41" borderId="20" xfId="668" applyFont="1" applyFill="1" applyBorder="1" applyNumberFormat="1">
      <alignment vertical="top" wrapText="1"/>
    </xf>
    <xf numFmtId="49" fontId="49" fillId="41" borderId="59" xfId="669" applyFont="1" applyFill="1" applyBorder="1" applyNumberFormat="1">
      <alignment vertical="top" wrapText="1"/>
    </xf>
    <xf numFmtId="49" fontId="75" fillId="41" borderId="59" xfId="670" applyFont="1" applyFill="1" applyBorder="1" applyNumberFormat="1">
      <alignment horizontal="left" vertical="center" indent="1"/>
    </xf>
    <xf numFmtId="49" fontId="49" fillId="39" borderId="0" xfId="671" applyFont="1" applyFill="1" applyNumberFormat="1">
      <alignment vertical="center"/>
    </xf>
    <xf numFmtId="0" fontId="71" fillId="0" borderId="63" xfId="672" applyFont="1" applyBorder="1">
      <alignment horizontal="left" vertical="center" indent="1"/>
    </xf>
    <xf numFmtId="49" fontId="27" fillId="0" borderId="64" xfId="673" applyFont="1" applyBorder="1" applyNumberFormat="1">
      <alignment horizontal="center" vertical="center"/>
    </xf>
    <xf numFmtId="0" fontId="27" fillId="0" borderId="64" xfId="674" applyFont="1" applyBorder="1">
      <alignment horizontal="right" vertical="center"/>
    </xf>
    <xf numFmtId="0" fontId="27" fillId="0" borderId="64" xfId="675" applyFont="1" applyBorder="1">
      <alignment horizontal="center" vertical="center"/>
    </xf>
    <xf numFmtId="0" fontId="27" fillId="0" borderId="25" xfId="676" applyFont="1" applyBorder="1">
      <alignment horizontal="right" vertical="center"/>
    </xf>
    <xf numFmtId="0" fontId="27" fillId="0" borderId="20" xfId="677" applyFont="1" applyBorder="1">
      <alignment horizontal="right" vertical="center"/>
    </xf>
    <xf numFmtId="0" fontId="27" fillId="0" borderId="23" xfId="678" applyFont="1" applyBorder="1">
      <alignment horizontal="right" vertical="center"/>
    </xf>
    <xf numFmtId="49" fontId="27" fillId="35" borderId="23" xfId="679" applyFont="1" applyFill="1" applyBorder="1" applyNumberFormat="1">
      <alignment horizontal="left" vertical="center" indent="1"/>
      <protection locked="0"/>
    </xf>
    <xf numFmtId="0" fontId="27" fillId="43" borderId="23" xfId="680" applyFont="1" applyFill="1" applyBorder="1">
      <alignment horizontal="right" vertical="center"/>
    </xf>
    <xf numFmtId="4" fontId="27" fillId="35" borderId="23" xfId="681" applyFont="1" applyFill="1" applyBorder="1" applyNumberFormat="1">
      <alignment horizontal="right" vertical="center"/>
      <protection locked="0"/>
    </xf>
    <xf numFmtId="49" fontId="48" fillId="41" borderId="65" xfId="682" applyFont="1" applyFill="1" applyBorder="1" applyNumberFormat="1">
      <alignment horizontal="left" vertical="center" indent="1"/>
    </xf>
    <xf numFmtId="49" fontId="48" fillId="51" borderId="20" xfId="683" applyFont="1" applyFill="1" applyBorder="1" applyNumberFormat="1">
      <alignment horizontal="left" vertical="center" indent="1"/>
    </xf>
    <xf numFmtId="0" fontId="23" fillId="0" borderId="21" xfId="684" applyFont="1" applyBorder="1">
      <alignment horizontal="right" vertical="center" wrapText="1" indent="1"/>
    </xf>
    <xf numFmtId="0" fontId="23" fillId="0" borderId="25" xfId="685" applyFont="1" applyBorder="1">
      <alignment horizontal="right" vertical="center" wrapText="1" indent="1"/>
    </xf>
    <xf numFmtId="0" fontId="23" fillId="0" borderId="20" xfId="686" applyFont="1" applyBorder="1">
      <alignment horizontal="right" vertical="center" wrapText="1" indent="1"/>
    </xf>
    <xf numFmtId="0" fontId="27" fillId="0" borderId="20" xfId="687" applyFont="1" applyBorder="1">
      <alignment horizontal="left" vertical="center" wrapText="1" indent="1"/>
    </xf>
    <xf numFmtId="49" fontId="44" fillId="0" borderId="28" xfId="688" applyFont="1" applyBorder="1" applyNumberFormat="1">
      <alignment vertical="top"/>
    </xf>
    <xf numFmtId="0" fontId="76" fillId="0" borderId="0" xfId="689" applyFont="1">
      <alignment vertical="top"/>
    </xf>
    <xf numFmtId="0" fontId="77" fillId="0" borderId="0" xfId="690" applyFont="1">
      <alignment vertical="top"/>
    </xf>
    <xf numFmtId="49" fontId="27" fillId="0" borderId="42" xfId="691" applyFont="1" applyBorder="1" applyNumberFormat="1">
      <alignment horizontal="center" vertical="center" wrapText="1"/>
    </xf>
    <xf numFmtId="0" fontId="27" fillId="0" borderId="30" xfId="692" applyFont="1" applyBorder="1">
      <alignment horizontal="left" vertical="center" wrapText="1"/>
    </xf>
    <xf numFmtId="4" fontId="27" fillId="37" borderId="23" xfId="693" applyFont="1" applyFill="1" applyBorder="1" applyNumberFormat="1">
      <alignment horizontal="right" vertical="center" wrapText="1"/>
    </xf>
    <xf numFmtId="2" fontId="27" fillId="0" borderId="30" xfId="694" applyFont="1" applyBorder="1" applyNumberFormat="1">
      <alignment horizontal="center" vertical="center" wrapText="1"/>
    </xf>
    <xf numFmtId="0" fontId="44" fillId="0" borderId="28" xfId="695" applyFont="1" applyBorder="1">
      <alignment vertical="center" wrapText="1"/>
    </xf>
    <xf numFmtId="49" fontId="48" fillId="41" borderId="21" xfId="696" applyFont="1" applyFill="1" applyBorder="1" applyNumberFormat="1">
      <alignment horizontal="left" vertical="center"/>
    </xf>
    <xf numFmtId="0" fontId="48" fillId="0" borderId="23" xfId="697" applyFont="1" applyBorder="1">
      <alignment horizontal="left" vertical="center" indent="1"/>
    </xf>
    <xf numFmtId="49" fontId="27" fillId="0" borderId="30" xfId="698" applyFont="1" applyBorder="1" applyNumberFormat="1">
      <alignment horizontal="center" vertical="center" wrapText="1"/>
    </xf>
    <xf numFmtId="0" fontId="44" fillId="0" borderId="30" xfId="699" applyFont="1" applyBorder="1">
      <alignment vertical="center" wrapText="1"/>
    </xf>
    <xf numFmtId="4" fontId="44" fillId="0" borderId="23" xfId="700" applyFont="1" applyBorder="1" applyNumberFormat="1">
      <alignment horizontal="right" vertical="center" wrapText="1"/>
    </xf>
    <xf numFmtId="2" fontId="44" fillId="0" borderId="30" xfId="701" applyFont="1" applyBorder="1" applyNumberFormat="1">
      <alignment horizontal="center" vertical="center" wrapText="1"/>
    </xf>
    <xf numFmtId="49" fontId="44" fillId="0" borderId="21" xfId="702" applyFont="1" applyBorder="1" applyNumberFormat="1">
      <alignment horizontal="left" vertical="center"/>
    </xf>
    <xf numFmtId="49" fontId="44" fillId="0" borderId="25" xfId="703" applyFont="1" applyBorder="1" applyNumberFormat="1">
      <alignment horizontal="left" vertical="center" indent="1"/>
    </xf>
    <xf numFmtId="49" fontId="44" fillId="0" borderId="25" xfId="704" applyFont="1" applyBorder="1" applyNumberFormat="1">
      <alignment horizontal="left" vertical="center"/>
    </xf>
    <xf numFmtId="49" fontId="44" fillId="0" borderId="20" xfId="705" applyFont="1" applyBorder="1" applyNumberFormat="1">
      <alignment horizontal="left" vertical="center" indent="1"/>
    </xf>
    <xf numFmtId="0" fontId="44" fillId="0" borderId="23" xfId="706" applyFont="1" applyBorder="1">
      <alignment horizontal="left" vertical="center" indent="1"/>
    </xf>
    <xf numFmtId="49" fontId="23" fillId="0" borderId="26" xfId="707" applyFont="1" applyBorder="1" applyNumberFormat="1">
      <alignment vertical="top"/>
    </xf>
    <xf numFmtId="49" fontId="50" fillId="0" borderId="32" xfId="708" applyFont="1" applyBorder="1" applyNumberFormat="1">
      <alignment horizontal="center" vertical="top" wrapText="1"/>
    </xf>
    <xf numFmtId="49" fontId="27" fillId="38" borderId="21" xfId="709" applyFont="1" applyFill="1" applyBorder="1" applyNumberFormat="1">
      <alignment horizontal="left" vertical="center" wrapText="1" indent="1"/>
      <protection locked="0"/>
    </xf>
    <xf numFmtId="0" fontId="27" fillId="0" borderId="23" xfId="710" applyFont="1" applyBorder="1">
      <alignment vertical="center" wrapText="1"/>
    </xf>
    <xf numFmtId="49" fontId="23" fillId="0" borderId="20" xfId="711" applyFont="1" applyBorder="1" applyNumberFormat="1">
      <alignment horizontal="center" vertical="center" wrapText="1"/>
    </xf>
    <xf numFmtId="0" fontId="23" fillId="0" borderId="23" xfId="712" applyFont="1" applyBorder="1">
      <alignment horizontal="left" vertical="center" wrapText="1"/>
    </xf>
    <xf numFmtId="4" fontId="23" fillId="37" borderId="23" xfId="713" applyFont="1" applyFill="1" applyBorder="1" applyNumberFormat="1">
      <alignment horizontal="right" vertical="center" wrapText="1"/>
    </xf>
    <xf numFmtId="0" fontId="23" fillId="38" borderId="23" xfId="714" applyFont="1" applyFill="1" applyBorder="1">
      <alignment horizontal="left" vertical="center" wrapText="1"/>
      <protection locked="0"/>
    </xf>
    <xf numFmtId="49" fontId="23" fillId="38" borderId="21" xfId="715" applyFont="1" applyFill="1" applyBorder="1" applyNumberFormat="1">
      <alignment horizontal="left" vertical="center" wrapText="1"/>
      <protection locked="0"/>
    </xf>
    <xf numFmtId="0" fontId="23" fillId="0" borderId="23" xfId="716" applyFont="1" applyBorder="1">
      <alignment vertical="center" wrapText="1"/>
    </xf>
    <xf numFmtId="49" fontId="23" fillId="0" borderId="34" xfId="717" applyFont="1" applyBorder="1" applyNumberFormat="1">
      <alignment horizontal="center" vertical="center" wrapText="1"/>
    </xf>
    <xf numFmtId="4" fontId="37" fillId="0" borderId="23" xfId="718" applyFont="1" applyBorder="1" applyNumberFormat="1">
      <alignment horizontal="right" vertical="center" wrapText="1"/>
    </xf>
    <xf numFmtId="49" fontId="23" fillId="41" borderId="35" xfId="719" applyFont="1" applyFill="1" applyBorder="1" applyNumberFormat="1">
      <alignment horizontal="center" vertical="center"/>
    </xf>
    <xf numFmtId="49" fontId="23" fillId="41" borderId="25" xfId="720" applyFont="1" applyFill="1" applyBorder="1" applyNumberFormat="1">
      <alignment horizontal="center" vertical="center"/>
    </xf>
    <xf numFmtId="49" fontId="27" fillId="0" borderId="30" xfId="721" applyFont="1" applyBorder="1" applyNumberFormat="1">
      <alignment horizontal="center" vertical="top" wrapText="1"/>
    </xf>
    <xf numFmtId="49" fontId="23" fillId="0" borderId="28" xfId="722" applyFont="1" applyBorder="1" applyNumberFormat="1">
      <alignment vertical="top"/>
    </xf>
    <xf numFmtId="49" fontId="23" fillId="0" borderId="29" xfId="723" applyFont="1" applyBorder="1" applyNumberFormat="1">
      <alignment vertical="top"/>
    </xf>
    <xf numFmtId="0" fontId="27" fillId="40" borderId="23" xfId="724" applyFont="1" applyFill="1" applyBorder="1">
      <alignment horizontal="left" vertical="top" wrapText="1"/>
    </xf>
    <xf numFmtId="0" fontId="23" fillId="40" borderId="23" xfId="725" applyFont="1" applyFill="1" applyBorder="1">
      <alignment horizontal="left" vertical="center" wrapText="1"/>
    </xf>
    <xf numFmtId="0" fontId="48" fillId="41" borderId="21" xfId="726" applyFont="1" applyFill="1" applyBorder="1">
      <alignment horizontal="left" vertical="center"/>
    </xf>
    <xf numFmtId="0" fontId="48" fillId="41" borderId="25" xfId="727" applyFont="1" applyFill="1" applyBorder="1">
      <alignment horizontal="left" vertical="center"/>
    </xf>
    <xf numFmtId="0" fontId="48" fillId="41" borderId="20" xfId="728" applyFont="1" applyFill="1" applyBorder="1">
      <alignment horizontal="left" vertical="center"/>
    </xf>
    <xf numFmtId="49" fontId="23" fillId="40" borderId="23" xfId="729" applyFont="1" applyFill="1" applyBorder="1" applyNumberFormat="1">
      <alignment horizontal="left" vertical="top"/>
    </xf>
    <xf numFmtId="49" fontId="23" fillId="35" borderId="23" xfId="730" applyFont="1" applyFill="1" applyBorder="1" applyNumberFormat="1">
      <alignment horizontal="left" vertical="top"/>
      <protection locked="0"/>
    </xf>
    <xf numFmtId="49" fontId="23" fillId="40" borderId="23" xfId="731" applyFont="1" applyFill="1" applyBorder="1" applyNumberFormat="1">
      <alignment horizontal="left" vertical="center" wrapText="1"/>
    </xf>
    <xf numFmtId="0" fontId="23" fillId="41" borderId="25" xfId="732" applyFont="1" applyFill="1" applyBorder="1">
      <alignment vertical="center"/>
    </xf>
    <xf numFmtId="49" fontId="23" fillId="0" borderId="42" xfId="733" applyFont="1" applyBorder="1" applyNumberFormat="1">
      <alignment horizontal="left" vertical="top"/>
    </xf>
    <xf numFmtId="49" fontId="23" fillId="40" borderId="42" xfId="734" applyFont="1" applyFill="1" applyBorder="1" applyNumberFormat="1">
      <alignment horizontal="left" vertical="top"/>
    </xf>
    <xf numFmtId="49" fontId="23" fillId="35" borderId="42" xfId="735" applyFont="1" applyFill="1" applyBorder="1" applyNumberFormat="1">
      <alignment horizontal="left" vertical="top"/>
      <protection locked="0"/>
    </xf>
    <xf numFmtId="49" fontId="27" fillId="40" borderId="0" xfId="736" applyFont="1" applyFill="1" applyNumberFormat="1">
      <alignment horizontal="center" vertical="center" wrapText="1"/>
    </xf>
    <xf numFmtId="0" fontId="48" fillId="0" borderId="42" xfId="737" applyFont="1" applyBorder="1">
      <alignment horizontal="left" vertical="center"/>
    </xf>
    <xf numFmtId="49" fontId="23" fillId="40" borderId="42" xfId="738" applyFont="1" applyFill="1" applyBorder="1" applyNumberFormat="1">
      <alignment horizontal="left" vertical="center" wrapText="1"/>
    </xf>
    <xf numFmtId="0" fontId="48" fillId="35" borderId="42" xfId="739" applyFont="1" applyFill="1" applyBorder="1">
      <alignment horizontal="left" vertical="center"/>
      <protection locked="0"/>
    </xf>
    <xf numFmtId="0" fontId="48" fillId="38" borderId="42" xfId="740" applyFont="1" applyFill="1" applyBorder="1">
      <alignment horizontal="left" vertical="center"/>
      <protection locked="0"/>
    </xf>
    <xf numFmtId="49" fontId="44" fillId="0" borderId="23" xfId="741" applyFont="1" applyBorder="1" applyNumberFormat="1">
      <alignment horizontal="center" vertical="center" wrapText="1"/>
    </xf>
    <xf numFmtId="49" fontId="44" fillId="0" borderId="21" xfId="742" applyFont="1" applyBorder="1" applyNumberFormat="1">
      <alignment horizontal="left" vertical="center" wrapText="1"/>
    </xf>
    <xf numFmtId="0" fontId="44" fillId="0" borderId="21" xfId="743" applyFont="1" applyBorder="1">
      <alignment horizontal="left" vertical="center"/>
    </xf>
    <xf numFmtId="0" fontId="44" fillId="0" borderId="25" xfId="744" applyFont="1" applyBorder="1">
      <alignment horizontal="left" vertical="center"/>
    </xf>
    <xf numFmtId="0" fontId="48" fillId="41" borderId="34" xfId="745" applyFont="1" applyFill="1" applyBorder="1">
      <alignment horizontal="left" vertical="center"/>
    </xf>
    <xf numFmtId="49" fontId="23" fillId="35" borderId="42" xfId="746" applyFont="1" applyFill="1" applyBorder="1" applyNumberFormat="1">
      <alignment vertical="top"/>
      <protection locked="0"/>
    </xf>
    <xf numFmtId="49" fontId="27" fillId="0" borderId="42" xfId="747" applyFont="1" applyBorder="1" applyNumberFormat="1">
      <alignment horizontal="center" vertical="center"/>
    </xf>
    <xf numFmtId="49" fontId="27" fillId="0" borderId="42" xfId="748" applyFont="1" applyBorder="1" applyNumberFormat="1">
      <alignment vertical="center" wrapText="1"/>
    </xf>
    <xf numFmtId="0" fontId="27" fillId="0" borderId="29" xfId="749" applyFont="1" applyBorder="1">
      <alignment horizontal="center" vertical="center"/>
    </xf>
    <xf numFmtId="49" fontId="27" fillId="0" borderId="32" xfId="750" applyFont="1" applyBorder="1" applyNumberFormat="1">
      <alignment horizontal="left" vertical="center" wrapText="1"/>
    </xf>
    <xf numFmtId="49" fontId="50" fillId="0" borderId="42" xfId="751" applyFont="1" applyBorder="1" applyNumberFormat="1">
      <alignment vertical="center" wrapText="1"/>
    </xf>
    <xf numFmtId="0" fontId="27" fillId="40" borderId="32" xfId="752" applyFont="1" applyFill="1" applyBorder="1">
      <alignment horizontal="left" vertical="center" wrapText="1"/>
    </xf>
    <xf numFmtId="49" fontId="27" fillId="40" borderId="32" xfId="753" applyFont="1" applyFill="1" applyBorder="1" applyNumberFormat="1">
      <alignment horizontal="left" vertical="center" wrapText="1"/>
    </xf>
    <xf numFmtId="0" fontId="27" fillId="0" borderId="42" xfId="754" applyFont="1" applyBorder="1">
      <alignment horizontal="left" vertical="center" wrapText="1"/>
    </xf>
    <xf numFmtId="49" fontId="27" fillId="0" borderId="42" xfId="755" applyFont="1" applyBorder="1" applyNumberFormat="1">
      <alignment horizontal="left" vertical="center" wrapText="1"/>
    </xf>
    <xf numFmtId="0" fontId="27" fillId="40" borderId="42" xfId="756" applyFont="1" applyFill="1" applyBorder="1">
      <alignment horizontal="left" vertical="center" wrapText="1"/>
    </xf>
    <xf numFmtId="49" fontId="27" fillId="40" borderId="30" xfId="757" applyFont="1" applyFill="1" applyBorder="1" applyNumberFormat="1">
      <alignment horizontal="left" vertical="center" wrapText="1"/>
    </xf>
    <xf numFmtId="0" fontId="48" fillId="0" borderId="30" xfId="758" applyFont="1" applyBorder="1">
      <alignment horizontal="left" vertical="center"/>
    </xf>
    <xf numFmtId="0" fontId="48" fillId="41" borderId="33" xfId="759" applyFont="1" applyFill="1" applyBorder="1">
      <alignment horizontal="left" vertical="center"/>
    </xf>
    <xf numFmtId="0" fontId="48" fillId="41" borderId="26" xfId="760" applyFont="1" applyFill="1" applyBorder="1">
      <alignment horizontal="left" vertical="center"/>
    </xf>
    <xf numFmtId="0" fontId="48" fillId="41" borderId="27" xfId="761" applyFont="1" applyFill="1" applyBorder="1">
      <alignment horizontal="left" vertical="center"/>
    </xf>
    <xf numFmtId="49" fontId="27" fillId="38" borderId="32" xfId="762" applyFont="1" applyFill="1" applyBorder="1" applyNumberFormat="1">
      <alignment horizontal="left" vertical="center" wrapText="1"/>
      <protection locked="0"/>
    </xf>
    <xf numFmtId="49" fontId="50" fillId="0" borderId="42" xfId="763" applyFont="1" applyBorder="1" applyNumberFormat="1">
      <alignment horizontal="center" vertical="center" wrapText="1"/>
    </xf>
    <xf numFmtId="0" fontId="48" fillId="41" borderId="33" xfId="764" applyFont="1" applyFill="1" applyBorder="1">
      <alignment vertical="center"/>
    </xf>
    <xf numFmtId="49" fontId="27" fillId="35" borderId="32" xfId="765" applyFont="1" applyFill="1" applyBorder="1" applyNumberFormat="1">
      <alignment horizontal="left" vertical="center" wrapText="1"/>
      <protection locked="0"/>
    </xf>
    <xf numFmtId="49" fontId="56" fillId="41" borderId="21" xfId="766" applyFont="1" applyFill="1" applyBorder="1" applyNumberFormat="1">
      <alignment vertical="top"/>
    </xf>
    <xf numFmtId="49" fontId="56" fillId="41" borderId="25" xfId="767" applyFont="1" applyFill="1" applyBorder="1" applyNumberFormat="1">
      <alignment vertical="top"/>
    </xf>
    <xf numFmtId="0" fontId="27" fillId="39" borderId="0" xfId="768" applyFont="1" applyFill="1">
      <alignment horizontal="right" vertical="center" wrapText="1"/>
    </xf>
    <xf numFmtId="0" fontId="27" fillId="39" borderId="0" xfId="769" applyFont="1" applyFill="1">
      <alignment horizontal="right" vertical="center"/>
    </xf>
    <xf numFmtId="0" fontId="23" fillId="0" borderId="23" xfId="770" applyFont="1" applyBorder="1">
      <alignment horizontal="left" vertical="center" wrapText="1" indent="1"/>
    </xf>
    <xf numFmtId="0" fontId="23" fillId="38" borderId="23" xfId="771" applyFont="1" applyFill="1" applyBorder="1">
      <alignment horizontal="left" vertical="center" wrapText="1" indent="2"/>
      <protection locked="0"/>
    </xf>
    <xf numFmtId="49" fontId="78" fillId="41" borderId="20" xfId="772" applyFont="1" applyFill="1" applyBorder="1" applyNumberFormat="1">
      <alignment horizontal="center" vertical="top"/>
    </xf>
    <xf numFmtId="0" fontId="27" fillId="0" borderId="32" xfId="773" applyFont="1" applyBorder="1">
      <alignment vertical="center" wrapText="1"/>
    </xf>
    <xf numFmtId="49" fontId="36" fillId="38" borderId="21" xfId="774" applyFont="1" applyFill="1" applyBorder="1" applyNumberFormat="1">
      <alignment horizontal="left" vertical="center" wrapText="1"/>
      <protection locked="0"/>
    </xf>
    <xf numFmtId="49" fontId="78" fillId="41" borderId="25" xfId="775" applyFont="1" applyFill="1" applyBorder="1" applyNumberFormat="1">
      <alignment horizontal="center" vertical="top"/>
    </xf>
    <xf numFmtId="49" fontId="56" fillId="0" borderId="23" xfId="776" applyFont="1" applyBorder="1" applyNumberFormat="1">
      <alignment horizontal="center" vertical="center" wrapText="1"/>
    </xf>
    <xf numFmtId="0" fontId="56" fillId="0" borderId="23" xfId="777" applyFont="1" applyBorder="1">
      <alignment horizontal="left" vertical="center" wrapText="1" indent="2"/>
    </xf>
    <xf numFmtId="49" fontId="79" fillId="0" borderId="21" xfId="778" applyFont="1" applyBorder="1" applyNumberFormat="1">
      <alignment horizontal="left" vertical="center" wrapText="1"/>
    </xf>
    <xf numFmtId="0" fontId="27" fillId="0" borderId="32" xfId="779" applyFont="1" applyBorder="1">
      <alignment vertical="top" wrapText="1"/>
    </xf>
    <xf numFmtId="0" fontId="27" fillId="0" borderId="30" xfId="780" applyFont="1" applyBorder="1">
      <alignment vertical="top" wrapText="1"/>
    </xf>
    <xf numFmtId="49" fontId="27" fillId="0" borderId="0" xfId="781" applyFont="1" applyNumberFormat="1">
      <alignment vertical="center" wrapText="1"/>
    </xf>
    <xf numFmtId="0" fontId="70" fillId="0" borderId="0" xfId="782" applyFont="1">
      <alignment vertical="center" wrapText="1"/>
    </xf>
    <xf numFmtId="0" fontId="27" fillId="0" borderId="42" xfId="783" applyFont="1" applyBorder="1">
      <alignment vertical="center" wrapText="1"/>
    </xf>
    <xf numFmtId="0" fontId="23" fillId="37" borderId="23" xfId="784" applyFont="1" applyFill="1" applyBorder="1">
      <alignment horizontal="center" vertical="center" wrapText="1"/>
    </xf>
    <xf numFmtId="438" fontId="23" fillId="38" borderId="20" xfId="785" applyFont="1" applyFill="1" applyBorder="1" applyNumberFormat="1">
      <alignment horizontal="left" vertical="center" wrapText="1"/>
      <protection locked="0"/>
    </xf>
    <xf numFmtId="438" fontId="23" fillId="38" borderId="21" xfId="786" applyFont="1" applyFill="1" applyBorder="1" applyNumberFormat="1">
      <alignment horizontal="left" vertical="center" wrapText="1"/>
      <protection locked="0"/>
    </xf>
    <xf numFmtId="0" fontId="27" fillId="40" borderId="23" xfId="787" applyFont="1" applyFill="1" applyBorder="1">
      <alignment horizontal="left" vertical="center" wrapText="1"/>
    </xf>
    <xf numFmtId="0" fontId="23" fillId="0" borderId="42" xfId="788" applyFont="1" applyBorder="1">
      <alignment horizontal="center" vertical="center" wrapText="1"/>
    </xf>
    <xf numFmtId="0" fontId="27" fillId="0" borderId="0" xfId="789" applyFont="1">
      <alignment vertical="top" wrapText="1"/>
    </xf>
    <xf numFmtId="49" fontId="48" fillId="41" borderId="45" xfId="790" applyFont="1" applyFill="1" applyBorder="1" applyNumberFormat="1">
      <alignment horizontal="left" vertical="center"/>
    </xf>
    <xf numFmtId="0" fontId="27" fillId="0" borderId="25" xfId="791" applyFont="1" applyBorder="1">
      <alignment horizontal="left" vertical="top" wrapText="1" indent="1"/>
    </xf>
    <xf numFmtId="0" fontId="31" fillId="39" borderId="0" xfId="792" applyFont="1" applyFill="1">
      <alignment horizontal="center" vertical="center" wrapText="1"/>
    </xf>
    <xf numFmtId="0" fontId="23" fillId="39" borderId="21" xfId="793" applyFont="1" applyFill="1" applyBorder="1">
      <alignment horizontal="right" vertical="center" wrapText="1" indent="1"/>
    </xf>
    <xf numFmtId="438" fontId="27" fillId="37" borderId="23" xfId="794" applyFont="1" applyFill="1" applyBorder="1" applyNumberFormat="1">
      <alignment horizontal="left" vertical="center" wrapText="1" indent="1"/>
    </xf>
    <xf numFmtId="0" fontId="27" fillId="37" borderId="23" xfId="795" applyFont="1" applyFill="1" applyBorder="1">
      <alignment horizontal="left" vertical="center" wrapText="1" indent="1"/>
    </xf>
    <xf numFmtId="0" fontId="27" fillId="39" borderId="32" xfId="796" applyFont="1" applyFill="1" applyBorder="1">
      <alignment horizontal="center" vertical="center" wrapText="1"/>
    </xf>
    <xf numFmtId="0" fontId="27" fillId="39" borderId="25" xfId="797" applyFont="1" applyFill="1" applyBorder="1">
      <alignment horizontal="center" vertical="center" wrapText="1"/>
    </xf>
    <xf numFmtId="0" fontId="27" fillId="39" borderId="20" xfId="798" applyFont="1" applyFill="1" applyBorder="1">
      <alignment horizontal="center" vertical="center" wrapText="1"/>
    </xf>
    <xf numFmtId="0" fontId="27" fillId="39" borderId="30" xfId="799" applyFont="1" applyFill="1" applyBorder="1">
      <alignment horizontal="center" vertical="center" wrapText="1"/>
    </xf>
    <xf numFmtId="49" fontId="47" fillId="39" borderId="26" xfId="800" applyFont="1" applyFill="1" applyBorder="1" applyNumberFormat="1">
      <alignment horizontal="center" vertical="center" wrapText="1"/>
    </xf>
    <xf numFmtId="49" fontId="23" fillId="39" borderId="32" xfId="801" applyFont="1" applyFill="1" applyBorder="1" applyNumberFormat="1">
      <alignment horizontal="center" vertical="center" wrapText="1"/>
    </xf>
    <xf numFmtId="0" fontId="23" fillId="0" borderId="32" xfId="802" applyFont="1" applyBorder="1">
      <alignment horizontal="left" vertical="center" wrapText="1"/>
    </xf>
    <xf numFmtId="0" fontId="70" fillId="39" borderId="0" xfId="803" applyFont="1" applyFill="1">
      <alignment horizontal="center" vertical="top" wrapText="1"/>
    </xf>
    <xf numFmtId="0" fontId="23" fillId="37" borderId="21" xfId="804" applyFont="1" applyFill="1" applyBorder="1">
      <alignment horizontal="left" vertical="center" wrapText="1" indent="1"/>
    </xf>
    <xf numFmtId="49" fontId="48" fillId="41" borderId="45" xfId="805" applyFont="1" applyFill="1" applyBorder="1" applyNumberFormat="1">
      <alignment horizontal="left" vertical="center" indent="2"/>
    </xf>
    <xf numFmtId="0" fontId="70" fillId="39" borderId="29" xfId="806" applyFont="1" applyFill="1" applyBorder="1">
      <alignment horizontal="center" vertical="top" wrapText="1"/>
    </xf>
    <xf numFmtId="49" fontId="23" fillId="39" borderId="30" xfId="807" applyFont="1" applyFill="1" applyBorder="1" applyNumberFormat="1">
      <alignment horizontal="center" vertical="center" wrapText="1"/>
    </xf>
    <xf numFmtId="0" fontId="23" fillId="37" borderId="30" xfId="808" applyFont="1" applyFill="1" applyBorder="1">
      <alignment horizontal="left" vertical="center" wrapText="1" indent="1"/>
    </xf>
    <xf numFmtId="0" fontId="27" fillId="0" borderId="23" xfId="809" applyFont="1" applyBorder="1">
      <alignment vertical="top" wrapText="1"/>
    </xf>
    <xf numFmtId="49" fontId="23" fillId="39" borderId="21" xfId="810" applyFont="1" applyFill="1" applyBorder="1" applyNumberFormat="1">
      <alignment horizontal="center" vertical="center" wrapText="1"/>
    </xf>
    <xf numFmtId="49" fontId="36" fillId="35" borderId="23" xfId="811" applyFont="1" applyFill="1" applyBorder="1" applyNumberFormat="1">
      <alignment horizontal="left" vertical="center" wrapText="1"/>
      <protection locked="0"/>
    </xf>
    <xf numFmtId="49" fontId="27" fillId="0" borderId="26" xfId="812" applyFont="1" applyBorder="1" applyNumberFormat="1">
      <alignment vertical="top"/>
    </xf>
    <xf numFmtId="49" fontId="27" fillId="0" borderId="0" xfId="813" applyFont="1" applyNumberFormat="1">
      <alignment vertical="top" wrapText="1"/>
    </xf>
    <xf numFmtId="0" fontId="37" fillId="0" borderId="23" xfId="814" applyFont="1" applyBorder="1">
      <alignment horizontal="center" vertical="center"/>
    </xf>
    <xf numFmtId="49" fontId="27" fillId="0" borderId="29" xfId="815" applyFont="1" applyBorder="1" applyNumberFormat="1">
      <alignment vertical="top"/>
    </xf>
    <xf numFmtId="0" fontId="27" fillId="39" borderId="23" xfId="816" applyFont="1" applyFill="1" applyBorder="1">
      <alignment horizontal="left" vertical="center" wrapText="1"/>
    </xf>
    <xf numFmtId="0" fontId="27" fillId="0" borderId="23" xfId="817" applyFont="1" applyBorder="1">
      <alignment horizontal="left" vertical="center" wrapText="1" indent="6"/>
    </xf>
    <xf numFmtId="0" fontId="27" fillId="37" borderId="21" xfId="818" applyFont="1" applyFill="1" applyBorder="1">
      <alignment horizontal="left" vertical="center" wrapText="1"/>
    </xf>
    <xf numFmtId="0" fontId="27" fillId="37" borderId="25" xfId="819" applyFont="1" applyFill="1" applyBorder="1">
      <alignment horizontal="left" vertical="center" wrapText="1"/>
    </xf>
    <xf numFmtId="0" fontId="27" fillId="37" borderId="20" xfId="820" applyFont="1" applyFill="1" applyBorder="1">
      <alignment horizontal="left" vertical="center" wrapText="1"/>
    </xf>
    <xf numFmtId="0" fontId="49" fillId="0" borderId="23" xfId="821" applyFont="1" applyBorder="1">
      <alignment vertical="top" wrapText="1"/>
    </xf>
    <xf numFmtId="0" fontId="37" fillId="0" borderId="21" xfId="822" applyFont="1" applyBorder="1">
      <alignment horizontal="center" vertical="center"/>
    </xf>
    <xf numFmtId="0" fontId="46" fillId="39" borderId="0" xfId="823" applyFont="1" applyFill="1">
      <alignment horizontal="center" vertical="center" wrapText="1"/>
    </xf>
    <xf numFmtId="0" fontId="27" fillId="0" borderId="29" xfId="824" applyFont="1" applyBorder="1">
      <alignment vertical="center" wrapText="1"/>
    </xf>
    <xf numFmtId="0" fontId="27" fillId="39" borderId="23" xfId="825" applyFont="1" applyFill="1" applyBorder="1">
      <alignment horizontal="left" vertical="center" wrapText="1" indent="1"/>
    </xf>
    <xf numFmtId="0" fontId="27" fillId="39" borderId="23" xfId="826" applyFont="1" applyFill="1" applyBorder="1">
      <alignment horizontal="left" vertical="center" wrapText="1" indent="2"/>
    </xf>
    <xf numFmtId="0" fontId="27" fillId="39" borderId="23" xfId="827" applyFont="1" applyFill="1" applyBorder="1">
      <alignment horizontal="left" vertical="center" wrapText="1" indent="3"/>
    </xf>
    <xf numFmtId="0" fontId="37" fillId="0" borderId="0" xfId="828" applyFont="1">
      <alignment horizontal="center" vertical="center"/>
    </xf>
    <xf numFmtId="0" fontId="44" fillId="0" borderId="29" xfId="829" applyFont="1" applyBorder="1">
      <alignment horizontal="center" vertical="center" wrapText="1"/>
    </xf>
    <xf numFmtId="0" fontId="27" fillId="39" borderId="23" xfId="830" applyFont="1" applyFill="1" applyBorder="1">
      <alignment horizontal="left" vertical="center" wrapText="1" indent="4"/>
    </xf>
    <xf numFmtId="0" fontId="27" fillId="40" borderId="25" xfId="831" applyFont="1" applyFill="1" applyBorder="1">
      <alignment horizontal="left" vertical="center" wrapText="1"/>
    </xf>
    <xf numFmtId="0" fontId="27" fillId="40" borderId="20" xfId="832" applyFont="1" applyFill="1" applyBorder="1">
      <alignment horizontal="left" vertical="center" wrapText="1"/>
    </xf>
    <xf numFmtId="0" fontId="37" fillId="0" borderId="21" xfId="833" applyFont="1" applyBorder="1">
      <alignment horizontal="center" vertical="center" wrapText="1"/>
    </xf>
    <xf numFmtId="0" fontId="44" fillId="0" borderId="29" xfId="834" applyFont="1" applyBorder="1">
      <alignment vertical="center" wrapText="1"/>
    </xf>
    <xf numFmtId="0" fontId="27" fillId="39" borderId="23" xfId="835" applyFont="1" applyFill="1" applyBorder="1">
      <alignment horizontal="left" vertical="center" wrapText="1" indent="5"/>
    </xf>
    <xf numFmtId="0" fontId="27" fillId="40" borderId="23" xfId="836" applyFont="1" applyFill="1" applyBorder="1">
      <alignment horizontal="left" vertical="center" wrapText="1" indent="6"/>
    </xf>
    <xf numFmtId="4" fontId="27" fillId="35" borderId="23" xfId="837" applyFont="1" applyFill="1" applyBorder="1" applyNumberFormat="1">
      <alignment horizontal="right" vertical="center" wrapText="1"/>
      <protection locked="0"/>
    </xf>
    <xf numFmtId="4" fontId="27" fillId="0" borderId="23" xfId="838" applyFont="1" applyBorder="1" applyNumberFormat="1">
      <alignment horizontal="right" vertical="center" wrapText="1"/>
    </xf>
    <xf numFmtId="436" fontId="27" fillId="35" borderId="23" xfId="839" applyFont="1" applyFill="1" applyBorder="1" applyNumberFormat="1">
      <alignment horizontal="right" vertical="center" wrapText="1"/>
      <protection locked="0"/>
    </xf>
    <xf numFmtId="0" fontId="49" fillId="0" borderId="32" xfId="840" applyFont="1" applyBorder="1">
      <alignment horizontal="left" vertical="top" wrapText="1"/>
    </xf>
    <xf numFmtId="4" fontId="44" fillId="0" borderId="23" xfId="841" applyFont="1" applyBorder="1" applyNumberFormat="1">
      <alignment horizontal="center" vertical="center" wrapText="1"/>
    </xf>
    <xf numFmtId="0" fontId="49" fillId="0" borderId="42" xfId="842" applyFont="1" applyBorder="1">
      <alignment horizontal="left" vertical="top" wrapText="1"/>
    </xf>
    <xf numFmtId="49" fontId="57" fillId="41" borderId="21" xfId="843" applyFont="1" applyFill="1" applyBorder="1" applyNumberFormat="1">
      <alignment horizontal="left" vertical="center"/>
    </xf>
    <xf numFmtId="49" fontId="48" fillId="41" borderId="25" xfId="844" applyFont="1" applyFill="1" applyBorder="1" applyNumberFormat="1">
      <alignment horizontal="left" vertical="center" indent="6"/>
    </xf>
    <xf numFmtId="49" fontId="27" fillId="41" borderId="20" xfId="845" applyFont="1" applyFill="1" applyBorder="1" applyNumberFormat="1">
      <alignment horizontal="center" vertical="center" wrapText="1"/>
    </xf>
    <xf numFmtId="0" fontId="49" fillId="0" borderId="30" xfId="846" applyFont="1" applyBorder="1">
      <alignment horizontal="left" vertical="top" wrapText="1"/>
    </xf>
    <xf numFmtId="49" fontId="48" fillId="41" borderId="25" xfId="847" applyFont="1" applyFill="1" applyBorder="1" applyNumberFormat="1">
      <alignment horizontal="left" vertical="center" indent="5"/>
    </xf>
    <xf numFmtId="49" fontId="23" fillId="41" borderId="25" xfId="848" applyFont="1" applyFill="1" applyBorder="1" applyNumberFormat="1">
      <alignment horizontal="center" vertical="center" wrapText="1"/>
    </xf>
    <xf numFmtId="49" fontId="23" fillId="41" borderId="20" xfId="849" applyFont="1" applyFill="1" applyBorder="1" applyNumberFormat="1">
      <alignment horizontal="center" vertical="center" wrapText="1"/>
    </xf>
    <xf numFmtId="49" fontId="48" fillId="41" borderId="25" xfId="850" applyFont="1" applyFill="1" applyBorder="1" applyNumberFormat="1">
      <alignment horizontal="left" vertical="center" indent="4"/>
    </xf>
    <xf numFmtId="49" fontId="80" fillId="0" borderId="26" xfId="851" applyFont="1" applyBorder="1" applyNumberFormat="1">
      <alignment horizontal="left" vertical="center"/>
    </xf>
    <xf numFmtId="49" fontId="44" fillId="0" borderId="26" xfId="852" applyFont="1" applyBorder="1" applyNumberFormat="1">
      <alignment horizontal="left" vertical="center" indent="3"/>
    </xf>
    <xf numFmtId="49" fontId="44" fillId="0" borderId="26" xfId="853" applyFont="1" applyBorder="1" applyNumberFormat="1">
      <alignment horizontal="center" vertical="center" wrapText="1"/>
    </xf>
    <xf numFmtId="49" fontId="44" fillId="0" borderId="0" xfId="854" applyFont="1" applyNumberFormat="1">
      <alignment horizontal="left" vertical="center" indent="2"/>
    </xf>
    <xf numFmtId="49" fontId="44" fillId="0" borderId="0" xfId="855" applyFont="1" applyNumberFormat="1">
      <alignment horizontal="left" vertical="center" indent="1"/>
    </xf>
    <xf numFmtId="436" fontId="37" fillId="0" borderId="23" xfId="856" applyFont="1" applyBorder="1" applyNumberFormat="1">
      <alignment horizontal="right" vertical="center" wrapText="1"/>
    </xf>
    <xf numFmtId="438" fontId="37" fillId="0" borderId="23" xfId="857" applyFont="1" applyBorder="1" applyNumberFormat="1">
      <alignment horizontal="center" vertical="center" wrapText="1"/>
    </xf>
    <xf numFmtId="49" fontId="37" fillId="0" borderId="23" xfId="858" applyFont="1" applyBorder="1" applyNumberFormat="1">
      <alignment vertical="center" wrapText="1"/>
    </xf>
    <xf numFmtId="0" fontId="27" fillId="39" borderId="0" xfId="859" applyFont="1" applyFill="1">
      <alignment horizontal="left" vertical="center" wrapText="1"/>
    </xf>
    <xf numFmtId="0" fontId="23" fillId="39" borderId="23" xfId="860" applyFont="1" applyFill="1" applyBorder="1">
      <alignment horizontal="right" vertical="center" wrapText="1" indent="1"/>
    </xf>
    <xf numFmtId="0" fontId="23" fillId="0" borderId="25" xfId="861" applyFont="1" applyBorder="1">
      <alignment vertical="center"/>
    </xf>
    <xf numFmtId="0" fontId="27" fillId="39" borderId="45" xfId="862" applyFont="1" applyFill="1" applyBorder="1">
      <alignment vertical="center" wrapText="1"/>
    </xf>
    <xf numFmtId="0" fontId="50" fillId="0" borderId="45" xfId="863" applyFont="1" applyBorder="1">
      <alignment horizontal="center" vertical="center" wrapText="1"/>
    </xf>
    <xf numFmtId="0" fontId="23" fillId="39" borderId="21" xfId="864" applyFont="1" applyFill="1" applyBorder="1">
      <alignment horizontal="center" vertical="center" wrapText="1"/>
    </xf>
    <xf numFmtId="0" fontId="23" fillId="39" borderId="25" xfId="865" applyFont="1" applyFill="1" applyBorder="1">
      <alignment horizontal="center" vertical="center" wrapText="1"/>
    </xf>
    <xf numFmtId="0" fontId="23" fillId="39" borderId="20" xfId="866" applyFont="1" applyFill="1" applyBorder="1">
      <alignment horizontal="center" vertical="center" wrapText="1"/>
    </xf>
    <xf numFmtId="49" fontId="48" fillId="41" borderId="32" xfId="867" applyFont="1" applyFill="1" applyBorder="1" applyNumberFormat="1">
      <alignment horizontal="center" vertical="center" textRotation="90" wrapText="1"/>
    </xf>
    <xf numFmtId="0" fontId="37" fillId="0" borderId="32" xfId="868" applyFont="1" applyBorder="1">
      <alignment horizontal="center" vertical="center" wrapText="1"/>
    </xf>
    <xf numFmtId="0" fontId="27" fillId="39" borderId="42" xfId="869" applyFont="1" applyFill="1" applyBorder="1">
      <alignment horizontal="center" vertical="center" wrapText="1"/>
    </xf>
    <xf numFmtId="49" fontId="48" fillId="41" borderId="42" xfId="870" applyFont="1" applyFill="1" applyBorder="1" applyNumberFormat="1">
      <alignment horizontal="center" vertical="center" textRotation="90" wrapText="1"/>
    </xf>
    <xf numFmtId="0" fontId="27" fillId="0" borderId="30" xfId="871" applyFont="1" applyBorder="1">
      <alignment vertical="center" wrapText="1"/>
    </xf>
    <xf numFmtId="49" fontId="48" fillId="41" borderId="30" xfId="872" applyFont="1" applyFill="1" applyBorder="1" applyNumberFormat="1">
      <alignment horizontal="center" vertical="center" textRotation="90" wrapText="1"/>
    </xf>
    <xf numFmtId="0" fontId="81" fillId="39" borderId="0" xfId="873" applyFont="1" applyFill="1">
      <alignment vertical="center" wrapText="1"/>
    </xf>
    <xf numFmtId="0" fontId="82" fillId="39" borderId="0" xfId="874" applyFont="1" applyFill="1">
      <alignment vertical="center" wrapText="1"/>
    </xf>
    <xf numFmtId="49" fontId="65" fillId="39" borderId="26" xfId="875" applyFont="1" applyFill="1" applyBorder="1" applyNumberFormat="1">
      <alignment horizontal="left" vertical="center" wrapText="1"/>
    </xf>
    <xf numFmtId="49" fontId="65" fillId="39" borderId="26" xfId="876" applyFont="1" applyFill="1" applyBorder="1" applyNumberFormat="1">
      <alignment horizontal="center" vertical="center" wrapText="1"/>
    </xf>
    <xf numFmtId="0" fontId="44" fillId="39" borderId="26" xfId="877" applyFont="1" applyFill="1" applyBorder="1">
      <alignment horizontal="center" vertical="center" wrapText="1"/>
    </xf>
    <xf numFmtId="0" fontId="65" fillId="39" borderId="26" xfId="878" applyFont="1" applyFill="1" applyBorder="1">
      <alignment horizontal="center" vertical="center" wrapText="1"/>
    </xf>
    <xf numFmtId="0" fontId="37" fillId="0" borderId="0" xfId="879" applyFont="1">
      <alignment horizontal="left" vertical="center" indent="1"/>
    </xf>
    <xf numFmtId="438" fontId="23" fillId="38" borderId="32" xfId="880" applyFont="1" applyFill="1" applyBorder="1" applyNumberFormat="1">
      <alignment horizontal="center" vertical="center" wrapText="1"/>
      <protection locked="0"/>
    </xf>
    <xf numFmtId="4" fontId="27" fillId="0" borderId="32" xfId="881" applyFont="1" applyBorder="1" applyNumberFormat="1">
      <alignment horizontal="right" vertical="center" wrapText="1"/>
    </xf>
    <xf numFmtId="49" fontId="23" fillId="38" borderId="30" xfId="882" applyFont="1" applyFill="1" applyBorder="1" applyNumberFormat="1">
      <alignment horizontal="center" vertical="center" wrapText="1"/>
      <protection locked="0"/>
    </xf>
    <xf numFmtId="4" fontId="27" fillId="0" borderId="30" xfId="883" applyFont="1" applyBorder="1" applyNumberFormat="1">
      <alignment horizontal="right" vertical="center" wrapText="1"/>
    </xf>
    <xf numFmtId="436" fontId="27" fillId="0" borderId="23" xfId="884" applyFont="1" applyBorder="1" applyNumberFormat="1">
      <alignment horizontal="right" vertical="center" wrapText="1"/>
    </xf>
    <xf numFmtId="0" fontId="23" fillId="39" borderId="26" xfId="885" applyFont="1" applyFill="1" applyBorder="1">
      <alignment horizontal="center" vertical="center" wrapText="1"/>
    </xf>
    <xf numFmtId="0" fontId="44" fillId="0" borderId="32" xfId="886" applyFont="1" applyBorder="1">
      <alignment horizontal="center" vertical="center" wrapText="1"/>
    </xf>
    <xf numFmtId="0" fontId="44" fillId="0" borderId="23" xfId="887" applyFont="1" applyBorder="1">
      <alignment horizontal="left" vertical="center" wrapText="1" indent="4"/>
    </xf>
    <xf numFmtId="0" fontId="44" fillId="0" borderId="23" xfId="888" applyFont="1" applyBorder="1">
      <alignment horizontal="left" vertical="center" wrapText="1" indent="6"/>
    </xf>
    <xf numFmtId="0" fontId="44" fillId="0" borderId="21" xfId="889" applyFont="1" applyBorder="1">
      <alignment horizontal="left" vertical="center" wrapText="1"/>
    </xf>
    <xf numFmtId="0" fontId="44" fillId="0" borderId="25" xfId="890" applyFont="1" applyBorder="1">
      <alignment horizontal="left" vertical="center" wrapText="1"/>
    </xf>
    <xf numFmtId="0" fontId="44" fillId="0" borderId="20" xfId="891" applyFont="1" applyBorder="1">
      <alignment horizontal="left" vertical="center" wrapText="1"/>
    </xf>
    <xf numFmtId="0" fontId="44" fillId="0" borderId="23" xfId="892" applyFont="1" applyBorder="1">
      <alignment vertical="top" wrapText="1"/>
    </xf>
    <xf numFmtId="49" fontId="80" fillId="0" borderId="21" xfId="893" applyFont="1" applyBorder="1" applyNumberFormat="1">
      <alignment horizontal="left" vertical="center"/>
    </xf>
    <xf numFmtId="49" fontId="44" fillId="0" borderId="25" xfId="894" applyFont="1" applyBorder="1" applyNumberFormat="1">
      <alignment horizontal="left" vertical="center" indent="4"/>
    </xf>
    <xf numFmtId="49" fontId="44" fillId="0" borderId="25" xfId="895" applyFont="1" applyBorder="1" applyNumberFormat="1">
      <alignment horizontal="center" vertical="center" wrapText="1"/>
    </xf>
    <xf numFmtId="49" fontId="44" fillId="0" borderId="20" xfId="896" applyFont="1" applyBorder="1" applyNumberFormat="1">
      <alignment horizontal="center" vertical="center" wrapText="1"/>
    </xf>
    <xf numFmtId="0" fontId="44" fillId="0" borderId="0" xfId="897" applyFont="1">
      <alignment horizontal="center" vertical="center"/>
    </xf>
    <xf numFmtId="0" fontId="27" fillId="39" borderId="32" xfId="898" applyFont="1" applyFill="1" applyBorder="1">
      <alignment horizontal="left" vertical="center" wrapText="1"/>
    </xf>
    <xf numFmtId="0" fontId="27" fillId="39" borderId="32" xfId="899" applyFont="1" applyFill="1" applyBorder="1">
      <alignment horizontal="left" vertical="center" wrapText="1" indent="2"/>
    </xf>
    <xf numFmtId="0" fontId="27" fillId="0" borderId="32" xfId="900" applyFont="1" applyBorder="1">
      <alignment horizontal="left" vertical="center" wrapText="1" indent="6"/>
    </xf>
    <xf numFmtId="0" fontId="27" fillId="37" borderId="33" xfId="901" applyFont="1" applyFill="1" applyBorder="1">
      <alignment horizontal="left" vertical="center" wrapText="1"/>
    </xf>
    <xf numFmtId="0" fontId="27" fillId="37" borderId="26" xfId="902" applyFont="1" applyFill="1" applyBorder="1">
      <alignment horizontal="left" vertical="center" wrapText="1"/>
    </xf>
    <xf numFmtId="0" fontId="27" fillId="37" borderId="27" xfId="903" applyFont="1" applyFill="1" applyBorder="1">
      <alignment horizontal="left" vertical="center" wrapText="1"/>
    </xf>
    <xf numFmtId="0" fontId="27" fillId="37" borderId="23" xfId="904" applyFont="1" applyFill="1" applyBorder="1">
      <alignment horizontal="left" vertical="center" wrapText="1"/>
    </xf>
    <xf numFmtId="0" fontId="49" fillId="0" borderId="20" xfId="905" applyFont="1" applyBorder="1">
      <alignment vertical="top" wrapText="1"/>
    </xf>
    <xf numFmtId="0" fontId="44" fillId="0" borderId="20" xfId="906" applyFont="1" applyBorder="1">
      <alignment vertical="top" wrapText="1"/>
    </xf>
    <xf numFmtId="0" fontId="27" fillId="39" borderId="30" xfId="907" applyFont="1" applyFill="1" applyBorder="1">
      <alignment horizontal="left" vertical="center" wrapText="1"/>
    </xf>
    <xf numFmtId="0" fontId="27" fillId="40" borderId="30" xfId="908" applyFont="1" applyFill="1" applyBorder="1">
      <alignment horizontal="left" vertical="center" wrapText="1" indent="6"/>
    </xf>
    <xf numFmtId="0" fontId="27" fillId="0" borderId="30" xfId="909" applyFont="1" applyBorder="1">
      <alignment horizontal="left" vertical="center" wrapText="1" indent="6"/>
    </xf>
    <xf numFmtId="4" fontId="27" fillId="35" borderId="30" xfId="910" applyFont="1" applyFill="1" applyBorder="1" applyNumberFormat="1">
      <alignment horizontal="right" vertical="center" wrapText="1"/>
      <protection locked="0"/>
    </xf>
    <xf numFmtId="436" fontId="27" fillId="35" borderId="30" xfId="911" applyFont="1" applyFill="1" applyBorder="1" applyNumberFormat="1">
      <alignment horizontal="right" vertical="center" wrapText="1"/>
      <protection locked="0"/>
    </xf>
    <xf numFmtId="438" fontId="23" fillId="38" borderId="30" xfId="912" applyFont="1" applyFill="1" applyBorder="1" applyNumberFormat="1">
      <alignment horizontal="center" vertical="center" wrapText="1"/>
      <protection locked="0"/>
    </xf>
    <xf numFmtId="0" fontId="27" fillId="0" borderId="23" xfId="913" applyFont="1" applyBorder="1">
      <alignment horizontal="center" vertical="center"/>
    </xf>
    <xf numFmtId="0" fontId="27" fillId="0" borderId="21" xfId="914" applyFont="1" applyBorder="1">
      <alignment horizontal="center" vertical="center"/>
    </xf>
    <xf numFmtId="0" fontId="27" fillId="0" borderId="0" xfId="915" applyFont="1">
      <alignment horizontal="center" vertical="center"/>
    </xf>
    <xf numFmtId="0" fontId="27" fillId="40" borderId="27" xfId="916" applyFont="1" applyFill="1" applyBorder="1">
      <alignment horizontal="left" vertical="center" wrapText="1"/>
    </xf>
    <xf numFmtId="436" fontId="27" fillId="35" borderId="21" xfId="917" applyFont="1" applyFill="1" applyBorder="1" applyNumberFormat="1">
      <alignment horizontal="right" vertical="center" wrapText="1"/>
      <protection locked="0"/>
    </xf>
    <xf numFmtId="4" fontId="27" fillId="35" borderId="20" xfId="918" applyFont="1" applyFill="1" applyBorder="1" applyNumberFormat="1">
      <alignment horizontal="right" vertical="center" wrapText="1"/>
      <protection locked="0"/>
    </xf>
    <xf numFmtId="0" fontId="49" fillId="0" borderId="32" xfId="919" applyFont="1" applyBorder="1">
      <alignment vertical="top" wrapText="1"/>
    </xf>
    <xf numFmtId="0" fontId="27" fillId="35" borderId="23" xfId="920" applyFont="1" applyFill="1" applyBorder="1">
      <alignment horizontal="left" vertical="center" wrapText="1" indent="7"/>
      <protection locked="0"/>
    </xf>
    <xf numFmtId="4" fontId="44" fillId="0" borderId="21" xfId="921" applyFont="1" applyBorder="1" applyNumberFormat="1">
      <alignment horizontal="center" vertical="center" wrapText="1"/>
    </xf>
    <xf numFmtId="4" fontId="27" fillId="0" borderId="20" xfId="922" applyFont="1" applyBorder="1" applyNumberFormat="1">
      <alignment horizontal="right" vertical="center" wrapText="1"/>
    </xf>
    <xf numFmtId="0" fontId="27" fillId="41" borderId="25" xfId="923" applyFont="1" applyFill="1" applyBorder="1">
      <alignment horizontal="left" vertical="center" wrapText="1" indent="6"/>
    </xf>
    <xf numFmtId="4" fontId="27" fillId="41" borderId="25" xfId="924" applyFont="1" applyFill="1" applyBorder="1" applyNumberFormat="1">
      <alignment horizontal="right" vertical="center" wrapText="1"/>
    </xf>
    <xf numFmtId="4" fontId="44" fillId="41" borderId="25" xfId="925" applyFont="1" applyFill="1" applyBorder="1" applyNumberFormat="1">
      <alignment horizontal="center" vertical="center" wrapText="1"/>
    </xf>
    <xf numFmtId="4" fontId="27" fillId="41" borderId="20" xfId="926" applyFont="1" applyFill="1" applyBorder="1" applyNumberFormat="1">
      <alignment horizontal="right" vertical="center" wrapText="1"/>
    </xf>
    <xf numFmtId="49" fontId="27" fillId="41" borderId="45" xfId="927" applyFont="1" applyFill="1" applyBorder="1" applyNumberFormat="1">
      <alignment horizontal="center" vertical="center" wrapText="1"/>
    </xf>
    <xf numFmtId="49" fontId="27" fillId="0" borderId="23" xfId="928" applyFont="1" applyBorder="1" applyNumberFormat="1">
      <alignment vertical="center" wrapText="1"/>
    </xf>
    <xf numFmtId="0" fontId="27" fillId="0" borderId="26" xfId="929" applyFont="1" applyBorder="1">
      <alignment horizontal="center" vertical="center" wrapText="1"/>
    </xf>
    <xf numFmtId="0" fontId="27" fillId="0" borderId="45" xfId="930" applyFont="1" applyBorder="1">
      <alignment horizontal="center" vertical="center" wrapText="1"/>
    </xf>
    <xf numFmtId="0" fontId="55" fillId="0" borderId="0" xfId="931" applyFont="1">
      <alignment horizontal="left" vertical="center" indent="1"/>
    </xf>
    <xf numFmtId="0" fontId="55" fillId="0" borderId="0" xfId="932" applyFont="1">
      <alignment horizontal="center" vertical="center"/>
    </xf>
    <xf numFmtId="0" fontId="45" fillId="39" borderId="0" xfId="933" applyFont="1" applyFill="1">
      <alignment horizontal="center" vertical="center" wrapText="1"/>
    </xf>
    <xf numFmtId="0" fontId="44" fillId="0" borderId="23" xfId="934" applyFont="1" applyBorder="1">
      <alignment horizontal="left" vertical="center" wrapText="1" indent="5"/>
    </xf>
    <xf numFmtId="0" fontId="44" fillId="0" borderId="29" xfId="935" applyFont="1" applyBorder="1">
      <alignment horizontal="center" vertical="top" wrapText="1"/>
    </xf>
    <xf numFmtId="49" fontId="27" fillId="38" borderId="32" xfId="936" applyFont="1" applyFill="1" applyBorder="1" applyNumberFormat="1">
      <alignment horizontal="left" vertical="center" wrapText="1" indent="6"/>
      <protection locked="0"/>
    </xf>
    <xf numFmtId="0" fontId="50" fillId="0" borderId="23" xfId="937" applyFont="1" applyBorder="1">
      <alignment horizontal="center" vertical="center" wrapText="1"/>
    </xf>
    <xf numFmtId="0" fontId="27" fillId="0" borderId="23" xfId="938" applyFont="1" applyBorder="1">
      <alignment horizontal="left" vertical="center" wrapText="1" indent="4"/>
    </xf>
    <xf numFmtId="0" fontId="27" fillId="39" borderId="42" xfId="939" applyFont="1" applyFill="1" applyBorder="1">
      <alignment horizontal="left" vertical="center" wrapText="1"/>
    </xf>
    <xf numFmtId="49" fontId="27" fillId="38" borderId="42" xfId="940" applyFont="1" applyFill="1" applyBorder="1" applyNumberFormat="1">
      <alignment horizontal="left" vertical="center" wrapText="1" indent="6"/>
      <protection locked="0"/>
    </xf>
    <xf numFmtId="436" fontId="27" fillId="41" borderId="20" xfId="941" applyFont="1" applyFill="1" applyBorder="1" applyNumberFormat="1">
      <alignment horizontal="right" vertical="center" wrapText="1"/>
    </xf>
    <xf numFmtId="436" fontId="27" fillId="41" borderId="25" xfId="942" applyFont="1" applyFill="1" applyBorder="1" applyNumberFormat="1">
      <alignment horizontal="right" vertical="center" wrapText="1"/>
    </xf>
    <xf numFmtId="4" fontId="27" fillId="0" borderId="42" xfId="943" applyFont="1" applyBorder="1" applyNumberFormat="1">
      <alignment horizontal="right" vertical="center" wrapText="1"/>
    </xf>
    <xf numFmtId="49" fontId="48" fillId="41" borderId="21" xfId="944" applyFont="1" applyFill="1" applyBorder="1" applyNumberFormat="1">
      <alignment horizontal="left" vertical="center" indent="1"/>
    </xf>
    <xf numFmtId="49" fontId="27" fillId="38" borderId="30" xfId="945" applyFont="1" applyFill="1" applyBorder="1" applyNumberFormat="1">
      <alignment horizontal="left" vertical="center" wrapText="1" indent="6"/>
      <protection locked="0"/>
    </xf>
    <xf numFmtId="4" fontId="44" fillId="41" borderId="20" xfId="946" applyFont="1" applyFill="1" applyBorder="1" applyNumberFormat="1">
      <alignment horizontal="center" vertical="center" wrapText="1"/>
    </xf>
    <xf numFmtId="49" fontId="48" fillId="41" borderId="21" xfId="947" applyFont="1" applyFill="1" applyBorder="1" applyNumberFormat="1">
      <alignment vertical="center" wrapText="1"/>
    </xf>
    <xf numFmtId="49" fontId="48" fillId="41" borderId="25" xfId="948" applyFont="1" applyFill="1" applyBorder="1" applyNumberFormat="1">
      <alignment vertical="center" wrapText="1"/>
    </xf>
    <xf numFmtId="49" fontId="44" fillId="0" borderId="29" xfId="949" applyFont="1" applyBorder="1" applyNumberFormat="1">
      <alignment vertical="top"/>
    </xf>
    <xf numFmtId="49" fontId="44" fillId="0" borderId="0" xfId="950" applyFont="1" applyNumberFormat="1">
      <alignment horizontal="center" vertical="center" wrapText="1"/>
    </xf>
    <xf numFmtId="0" fontId="44" fillId="0" borderId="29" xfId="951" applyFont="1" applyBorder="1">
      <alignment horizontal="left" vertical="center" wrapText="1" indent="1"/>
    </xf>
    <xf numFmtId="436" fontId="44" fillId="0" borderId="23" xfId="952" applyFont="1" applyBorder="1" applyNumberFormat="1">
      <alignment horizontal="right" vertical="center" wrapText="1"/>
    </xf>
    <xf numFmtId="438" fontId="44" fillId="0" borderId="23" xfId="953" applyFont="1" applyBorder="1" applyNumberFormat="1">
      <alignment horizontal="center" vertical="center" wrapText="1"/>
    </xf>
    <xf numFmtId="0" fontId="37" fillId="0" borderId="0" xfId="954" applyFont="1">
      <alignment horizontal="left" vertical="center"/>
    </xf>
    <xf numFmtId="0" fontId="83" fillId="39" borderId="0" xfId="955" applyFont="1" applyFill="1">
      <alignment vertical="center" wrapText="1"/>
    </xf>
    <xf numFmtId="0" fontId="27" fillId="39" borderId="33" xfId="956" applyFont="1" applyFill="1" applyBorder="1">
      <alignment horizontal="center" vertical="center" wrapText="1"/>
    </xf>
    <xf numFmtId="0" fontId="23" fillId="39" borderId="33" xfId="957" applyFont="1" applyFill="1" applyBorder="1">
      <alignment horizontal="center" vertical="center" wrapText="1"/>
    </xf>
    <xf numFmtId="0" fontId="23" fillId="39" borderId="27" xfId="958" applyFont="1" applyFill="1" applyBorder="1">
      <alignment horizontal="center" vertical="center" wrapText="1"/>
    </xf>
    <xf numFmtId="0" fontId="27" fillId="39" borderId="28" xfId="959" applyFont="1" applyFill="1" applyBorder="1">
      <alignment horizontal="center" vertical="center" wrapText="1"/>
    </xf>
    <xf numFmtId="0" fontId="23" fillId="39" borderId="28" xfId="960" applyFont="1" applyFill="1" applyBorder="1">
      <alignment horizontal="center" vertical="center" wrapText="1"/>
    </xf>
    <xf numFmtId="0" fontId="23" fillId="39" borderId="0" xfId="961" applyFont="1" applyFill="1">
      <alignment horizontal="center" vertical="center" wrapText="1"/>
    </xf>
    <xf numFmtId="0" fontId="23" fillId="39" borderId="29" xfId="962" applyFont="1" applyFill="1" applyBorder="1">
      <alignment horizontal="center" vertical="center" wrapText="1"/>
    </xf>
    <xf numFmtId="0" fontId="27" fillId="37" borderId="23" xfId="963" applyFont="1" applyFill="1" applyBorder="1">
      <alignment horizontal="center" vertical="center" wrapText="1"/>
    </xf>
    <xf numFmtId="0" fontId="27" fillId="38" borderId="23" xfId="964" applyFont="1" applyFill="1" applyBorder="1">
      <alignment horizontal="center" vertical="center" wrapText="1"/>
      <protection locked="0"/>
    </xf>
    <xf numFmtId="0" fontId="27" fillId="39" borderId="35" xfId="965" applyFont="1" applyFill="1" applyBorder="1">
      <alignment horizontal="center" vertical="center" wrapText="1"/>
    </xf>
    <xf numFmtId="0" fontId="23" fillId="39" borderId="35" xfId="966" applyFont="1" applyFill="1" applyBorder="1">
      <alignment horizontal="center" vertical="center" wrapText="1"/>
    </xf>
    <xf numFmtId="0" fontId="23" fillId="39" borderId="45" xfId="967" applyFont="1" applyFill="1" applyBorder="1">
      <alignment horizontal="center" vertical="center" wrapText="1"/>
    </xf>
    <xf numFmtId="0" fontId="23" fillId="39" borderId="34" xfId="968" applyFont="1" applyFill="1" applyBorder="1">
      <alignment horizontal="center" vertical="center" wrapText="1"/>
    </xf>
    <xf numFmtId="0" fontId="27" fillId="0" borderId="23" xfId="969" applyFont="1" applyBorder="1">
      <alignment horizontal="left" vertical="center" wrapText="1" indent="1"/>
    </xf>
    <xf numFmtId="49" fontId="27" fillId="41" borderId="21" xfId="970" applyFont="1" applyFill="1" applyBorder="1" applyNumberFormat="1">
      <alignment horizontal="center" vertical="center" wrapText="1"/>
    </xf>
    <xf numFmtId="49" fontId="55" fillId="0" borderId="29" xfId="971" applyFont="1" applyBorder="1" applyNumberFormat="1">
      <alignment vertical="top"/>
    </xf>
    <xf numFmtId="0" fontId="83" fillId="0" borderId="0" xfId="972" applyFont="1">
      <alignment vertical="center" wrapText="1"/>
    </xf>
    <xf numFmtId="0" fontId="21" fillId="0" borderId="26" xfId="973" applyFont="1" applyBorder="1">
      <alignment horizontal="left" vertical="center" wrapText="1" indent="1"/>
    </xf>
    <xf numFmtId="0" fontId="21" fillId="0" borderId="45" xfId="974" applyFont="1" applyBorder="1">
      <alignment horizontal="left" vertical="center" wrapText="1" indent="1"/>
    </xf>
    <xf numFmtId="4" fontId="27" fillId="37" borderId="23" xfId="975" applyFont="1" applyFill="1" applyBorder="1" applyNumberFormat="1">
      <alignment horizontal="left" vertical="center" wrapText="1"/>
    </xf>
    <xf numFmtId="49" fontId="84" fillId="41" borderId="21" xfId="976" applyFont="1" applyFill="1" applyBorder="1" applyNumberFormat="1">
      <alignment horizontal="left" vertical="center"/>
    </xf>
    <xf numFmtId="49" fontId="85" fillId="41" borderId="25" xfId="977" applyFont="1" applyFill="1" applyBorder="1" applyNumberFormat="1">
      <alignment horizontal="left" vertical="center" indent="3"/>
    </xf>
    <xf numFmtId="49" fontId="55" fillId="41" borderId="25" xfId="978" applyFont="1" applyFill="1" applyBorder="1" applyNumberFormat="1">
      <alignment horizontal="center" vertical="center" wrapText="1"/>
    </xf>
    <xf numFmtId="49" fontId="56" fillId="41" borderId="25" xfId="979" applyFont="1" applyFill="1" applyBorder="1" applyNumberFormat="1">
      <alignment horizontal="center" vertical="center" wrapText="1"/>
    </xf>
    <xf numFmtId="49" fontId="56" fillId="41" borderId="20" xfId="980" applyFont="1" applyFill="1" applyBorder="1" applyNumberFormat="1">
      <alignment horizontal="center" vertical="center" wrapText="1"/>
    </xf>
    <xf numFmtId="49" fontId="85" fillId="41" borderId="25" xfId="981" applyFont="1" applyFill="1" applyBorder="1" applyNumberFormat="1">
      <alignment horizontal="left" vertical="center" indent="2"/>
    </xf>
    <xf numFmtId="49" fontId="85" fillId="41" borderId="25" xfId="982" applyFont="1" applyFill="1" applyBorder="1" applyNumberFormat="1">
      <alignment horizontal="left" vertical="center" indent="1"/>
    </xf>
    <xf numFmtId="49" fontId="56" fillId="41" borderId="21" xfId="983" applyFont="1" applyFill="1" applyBorder="1" applyNumberFormat="1">
      <alignment horizontal="left" vertical="top"/>
    </xf>
    <xf numFmtId="49" fontId="85" fillId="41" borderId="25" xfId="984" applyFont="1" applyFill="1" applyBorder="1" applyNumberFormat="1">
      <alignment horizontal="left" vertical="center"/>
    </xf>
    <xf numFmtId="49" fontId="27" fillId="35" borderId="32" xfId="985" applyFont="1" applyFill="1" applyBorder="1" applyNumberFormat="1">
      <alignment horizontal="left" vertical="center" wrapText="1" indent="6"/>
      <protection locked="0"/>
    </xf>
    <xf numFmtId="4" fontId="27" fillId="38" borderId="23" xfId="986" applyFont="1" applyFill="1" applyBorder="1" applyNumberFormat="1">
      <alignment horizontal="left" vertical="center" wrapText="1" indent="1"/>
      <protection locked="0"/>
    </xf>
    <xf numFmtId="0" fontId="27" fillId="0" borderId="0" xfId="987" applyFont="1">
      <alignment horizontal="left" vertical="center"/>
    </xf>
    <xf numFmtId="0" fontId="27" fillId="38" borderId="20" xfId="988" applyFont="1" applyFill="1" applyBorder="1">
      <alignment horizontal="center" vertical="center" wrapText="1"/>
      <protection locked="0"/>
    </xf>
    <xf numFmtId="0" fontId="27" fillId="39" borderId="34" xfId="989" applyFont="1" applyFill="1" applyBorder="1">
      <alignment horizontal="center" vertical="center" wrapText="1"/>
    </xf>
    <xf numFmtId="49" fontId="86" fillId="0" borderId="0" xfId="990" applyFont="1" applyNumberFormat="1">
      <alignment horizontal="center" vertical="center" wrapText="1"/>
    </xf>
    <xf numFmtId="0" fontId="23" fillId="0" borderId="23" xfId="991" applyFont="1" applyBorder="1">
      <alignment horizontal="left" vertical="center" wrapText="1" indent="2"/>
    </xf>
    <xf numFmtId="438" fontId="23" fillId="38" borderId="23" xfId="992" applyFont="1" applyFill="1" applyBorder="1" applyNumberFormat="1">
      <alignment horizontal="left" vertical="center" wrapText="1"/>
      <protection locked="0"/>
    </xf>
    <xf numFmtId="49" fontId="48" fillId="41" borderId="25" xfId="993" applyFont="1" applyFill="1" applyBorder="1" applyNumberFormat="1">
      <alignment horizontal="left" vertical="center" indent="3"/>
    </xf>
    <xf numFmtId="0" fontId="27" fillId="0" borderId="0" xfId="994" applyFont="1">
      <alignment horizontal="right" vertical="top" wrapText="1"/>
    </xf>
    <xf numFmtId="0" fontId="23" fillId="0" borderId="23" xfId="995" applyFont="1" applyBorder="1">
      <alignment horizontal="left" vertical="top" wrapText="1"/>
    </xf>
    <xf numFmtId="0" fontId="27" fillId="0" borderId="26" xfId="996" applyFont="1" applyBorder="1">
      <alignment vertical="center" wrapText="1"/>
    </xf>
    <xf numFmtId="49" fontId="48" fillId="0" borderId="26" xfId="997" applyFont="1" applyBorder="1" applyNumberFormat="1">
      <alignment horizontal="left" vertical="center"/>
    </xf>
    <xf numFmtId="49" fontId="48" fillId="0" borderId="26" xfId="998" applyFont="1" applyBorder="1" applyNumberFormat="1">
      <alignment horizontal="left" vertical="center" indent="2"/>
    </xf>
    <xf numFmtId="49" fontId="78" fillId="0" borderId="26" xfId="999" applyFont="1" applyBorder="1" applyNumberFormat="1">
      <alignment horizontal="center" vertical="top"/>
    </xf>
    <xf numFmtId="0" fontId="27" fillId="0" borderId="26" xfId="1000" applyFont="1" applyBorder="1">
      <alignment horizontal="left" vertical="top" wrapText="1"/>
    </xf>
    <xf numFmtId="0" fontId="27" fillId="0" borderId="21" xfId="1001" applyFont="1" applyBorder="1">
      <alignment vertical="center" wrapText="1"/>
    </xf>
    <xf numFmtId="0" fontId="27" fillId="0" borderId="25" xfId="1002" applyFont="1" applyBorder="1">
      <alignment horizontal="right" vertical="center" wrapText="1" indent="1"/>
    </xf>
    <xf numFmtId="0" fontId="27" fillId="0" borderId="20" xfId="1003" applyFont="1" applyBorder="1">
      <alignment horizontal="right" vertical="center" wrapText="1" indent="1"/>
    </xf>
    <xf numFmtId="0" fontId="27" fillId="37" borderId="21" xfId="1004" applyFont="1" applyFill="1" applyBorder="1">
      <alignment horizontal="left" vertical="top" wrapText="1" indent="1"/>
    </xf>
    <xf numFmtId="0" fontId="27" fillId="37" borderId="20" xfId="1005" applyFont="1" applyFill="1" applyBorder="1">
      <alignment horizontal="left" vertical="top" wrapText="1" indent="1"/>
    </xf>
    <xf numFmtId="0" fontId="27" fillId="0" borderId="21" xfId="1006" applyFont="1" applyBorder="1">
      <alignment horizontal="right" vertical="center" wrapText="1"/>
    </xf>
    <xf numFmtId="0" fontId="27" fillId="0" borderId="25" xfId="1007" applyFont="1" applyBorder="1">
      <alignment horizontal="right" vertical="center" wrapText="1"/>
    </xf>
    <xf numFmtId="49" fontId="47" fillId="0" borderId="0" xfId="1008" applyFont="1" applyNumberFormat="1">
      <alignment horizontal="center" vertical="center" wrapText="1"/>
    </xf>
    <xf numFmtId="3" fontId="27" fillId="0" borderId="21" xfId="1009" applyFont="1" applyBorder="1" applyNumberFormat="1">
      <alignment vertical="center" wrapText="1"/>
    </xf>
    <xf numFmtId="3" fontId="27" fillId="35" borderId="21" xfId="1010" applyFont="1" applyFill="1" applyBorder="1" applyNumberFormat="1">
      <alignment horizontal="right" vertical="center" wrapText="1"/>
      <protection locked="0"/>
    </xf>
    <xf numFmtId="0" fontId="27" fillId="0" borderId="20" xfId="1011" applyFont="1" applyBorder="1">
      <alignment vertical="center" wrapText="1"/>
    </xf>
    <xf numFmtId="4" fontId="27" fillId="35" borderId="21" xfId="1012" applyFont="1" applyFill="1" applyBorder="1" applyNumberFormat="1">
      <alignment horizontal="right" vertical="center" wrapText="1"/>
      <protection locked="0"/>
    </xf>
    <xf numFmtId="4" fontId="27" fillId="0" borderId="21" xfId="1013" applyFont="1" applyBorder="1" applyNumberFormat="1">
      <alignment horizontal="right" vertical="center" wrapText="1"/>
    </xf>
    <xf numFmtId="4" fontId="27" fillId="0" borderId="35" xfId="1014" applyFont="1" applyBorder="1" applyNumberFormat="1">
      <alignment horizontal="right" vertical="center" wrapText="1"/>
    </xf>
    <xf numFmtId="0" fontId="87" fillId="0" borderId="0" xfId="1015" applyFont="1">
      <alignment vertical="center" wrapText="1"/>
    </xf>
    <xf numFmtId="3" fontId="27" fillId="38" borderId="21" xfId="1016" applyFont="1" applyFill="1" applyBorder="1" applyNumberFormat="1">
      <alignment vertical="center" wrapText="1"/>
      <protection locked="0"/>
    </xf>
    <xf numFmtId="49" fontId="27" fillId="35" borderId="21" xfId="1017" applyFont="1" applyFill="1" applyBorder="1" applyNumberFormat="1">
      <alignment horizontal="left" vertical="center" wrapText="1"/>
      <protection locked="0"/>
    </xf>
    <xf numFmtId="4" fontId="27" fillId="37" borderId="21" xfId="1018" applyFont="1" applyFill="1" applyBorder="1" applyNumberFormat="1">
      <alignment horizontal="right" vertical="center" wrapText="1"/>
    </xf>
    <xf numFmtId="0" fontId="37" fillId="0" borderId="23" xfId="1019" applyFont="1" applyBorder="1">
      <alignment vertical="top" wrapText="1"/>
    </xf>
    <xf numFmtId="0" fontId="23" fillId="0" borderId="21" xfId="1020" applyFont="1" applyBorder="1">
      <alignment horizontal="center" vertical="center"/>
    </xf>
    <xf numFmtId="438" fontId="23" fillId="35" borderId="23" xfId="1021" applyFont="1" applyFill="1" applyBorder="1" applyNumberFormat="1">
      <alignment horizontal="left" vertical="center" wrapText="1" indent="1"/>
      <protection locked="0"/>
    </xf>
    <xf numFmtId="49" fontId="23" fillId="0" borderId="21" xfId="1022" applyFont="1" applyBorder="1" applyNumberFormat="1">
      <alignment horizontal="center" vertical="center"/>
    </xf>
    <xf numFmtId="49" fontId="23" fillId="0" borderId="23" xfId="1023" applyFont="1" applyBorder="1" applyNumberFormat="1">
      <alignment vertical="center" wrapText="1"/>
    </xf>
    <xf numFmtId="0" fontId="37" fillId="41" borderId="20" xfId="1024" applyFont="1" applyFill="1" applyBorder="1">
      <alignment vertical="center" wrapText="1"/>
    </xf>
    <xf numFmtId="0" fontId="27" fillId="41" borderId="26" xfId="1025" applyFont="1" applyFill="1" applyBorder="1">
      <alignment vertical="center" wrapText="1"/>
    </xf>
    <xf numFmtId="0" fontId="27" fillId="41" borderId="45" xfId="1026" applyFont="1" applyFill="1" applyBorder="1">
      <alignment vertical="center" wrapText="1"/>
    </xf>
    <xf numFmtId="0" fontId="27" fillId="35" borderId="21" xfId="1027" applyFont="1" applyFill="1" applyBorder="1">
      <alignment horizontal="left" vertical="center" wrapText="1"/>
      <protection locked="0"/>
    </xf>
    <xf numFmtId="0" fontId="27" fillId="35" borderId="25" xfId="1028" applyFont="1" applyFill="1" applyBorder="1">
      <alignment horizontal="left" vertical="center" wrapText="1"/>
      <protection locked="0"/>
    </xf>
    <xf numFmtId="0" fontId="27" fillId="35" borderId="20" xfId="1029" applyFont="1" applyFill="1" applyBorder="1">
      <alignment horizontal="left" vertical="center" wrapText="1"/>
      <protection locked="0"/>
    </xf>
    <xf numFmtId="49" fontId="27" fillId="35" borderId="25" xfId="1030" applyFont="1" applyFill="1" applyBorder="1" applyNumberFormat="1">
      <alignment horizontal="left" vertical="center" wrapText="1"/>
      <protection locked="0"/>
    </xf>
    <xf numFmtId="49" fontId="27" fillId="35" borderId="20" xfId="1031" applyFont="1" applyFill="1" applyBorder="1" applyNumberFormat="1">
      <alignment horizontal="left" vertical="center" wrapText="1"/>
      <protection locked="0"/>
    </xf>
    <xf numFmtId="49" fontId="27" fillId="35" borderId="23" xfId="1032" applyFont="1" applyFill="1" applyBorder="1" applyNumberFormat="1">
      <alignment horizontal="left" vertical="center" wrapText="1" indent="6"/>
      <protection locked="0"/>
    </xf>
    <xf numFmtId="4" fontId="27" fillId="0" borderId="33" xfId="1033" applyFont="1" applyBorder="1" applyNumberFormat="1">
      <alignment horizontal="right" vertical="center" wrapText="1"/>
    </xf>
    <xf numFmtId="0" fontId="49" fillId="0" borderId="23" xfId="1034" applyFont="1" applyBorder="1">
      <alignment horizontal="left" vertical="top" wrapText="1"/>
    </xf>
    <xf numFmtId="49" fontId="23" fillId="41" borderId="34" xfId="1035" applyFont="1" applyFill="1" applyBorder="1" applyNumberFormat="1">
      <alignment horizontal="center" vertical="center" wrapText="1"/>
    </xf>
    <xf numFmtId="0" fontId="88" fillId="39" borderId="0" xfId="1036" applyFont="1" applyFill="1">
      <alignment horizontal="center" vertical="center" wrapText="1"/>
    </xf>
    <xf numFmtId="0" fontId="44" fillId="39" borderId="23" xfId="1037" applyFont="1" applyFill="1" applyBorder="1">
      <alignment horizontal="left" vertical="center" wrapText="1" indent="3"/>
    </xf>
    <xf numFmtId="4" fontId="27" fillId="38" borderId="23" xfId="1038" applyFont="1" applyFill="1" applyBorder="1" applyNumberFormat="1">
      <alignment horizontal="center" vertical="center" wrapText="1"/>
      <protection locked="0"/>
    </xf>
    <xf numFmtId="49" fontId="27" fillId="40" borderId="27" xfId="1039" applyFont="1" applyFill="1" applyBorder="1" applyNumberFormat="1">
      <alignment horizontal="center" vertical="center" wrapText="1"/>
    </xf>
    <xf numFmtId="49" fontId="27" fillId="35" borderId="42" xfId="1040" applyFont="1" applyFill="1" applyBorder="1" applyNumberFormat="1">
      <alignment horizontal="left" vertical="center" wrapText="1" indent="6"/>
      <protection locked="0"/>
    </xf>
    <xf numFmtId="49" fontId="27" fillId="40" borderId="34" xfId="1041" applyFont="1" applyFill="1" applyBorder="1" applyNumberFormat="1">
      <alignment horizontal="center" vertical="center" wrapText="1"/>
    </xf>
    <xf numFmtId="49" fontId="27" fillId="35" borderId="30" xfId="1042" applyFont="1" applyFill="1" applyBorder="1" applyNumberFormat="1">
      <alignment horizontal="left" vertical="center" wrapText="1" indent="6"/>
      <protection locked="0"/>
    </xf>
    <xf numFmtId="0" fontId="44" fillId="0" borderId="26" xfId="1043" applyFont="1" applyBorder="1">
      <alignment horizontal="left" vertical="center" wrapText="1"/>
    </xf>
    <xf numFmtId="0" fontId="27" fillId="0" borderId="66" xfId="1044" applyFont="1" applyBorder="1">
      <alignment horizontal="center" vertical="center" wrapText="1"/>
    </xf>
    <xf numFmtId="0" fontId="27" fillId="38" borderId="23" xfId="1045" applyFont="1" applyFill="1" applyBorder="1">
      <alignment horizontal="left" vertical="center" wrapText="1" indent="2"/>
      <protection locked="0"/>
    </xf>
    <xf numFmtId="0" fontId="44" fillId="0" borderId="66" xfId="1046" applyFont="1" applyBorder="1">
      <alignment horizontal="center" vertical="center" wrapText="1"/>
    </xf>
    <xf numFmtId="0" fontId="44" fillId="0" borderId="23" xfId="1047" applyFont="1" applyBorder="1">
      <alignment horizontal="left" vertical="center" wrapText="1" indent="2"/>
    </xf>
    <xf numFmtId="0" fontId="27" fillId="0" borderId="23" xfId="1048" applyFont="1" applyBorder="1">
      <alignment horizontal="left" vertical="center" wrapText="1" indent="3"/>
    </xf>
    <xf numFmtId="49" fontId="27" fillId="38" borderId="23" xfId="1049" applyFont="1" applyFill="1" applyBorder="1" applyNumberFormat="1">
      <alignment horizontal="center" vertical="center" wrapText="1"/>
      <protection locked="0"/>
    </xf>
    <xf numFmtId="0" fontId="27" fillId="35" borderId="23" xfId="1050" applyFont="1" applyFill="1" applyBorder="1">
      <alignment horizontal="left" vertical="center" wrapText="1"/>
      <protection locked="0"/>
    </xf>
    <xf numFmtId="0" fontId="27" fillId="0" borderId="20" xfId="1051" applyFont="1" applyBorder="1">
      <alignment vertical="top" wrapText="1"/>
    </xf>
    <xf numFmtId="437" fontId="27" fillId="35" borderId="23" xfId="1052" applyFont="1" applyFill="1" applyBorder="1" applyNumberFormat="1">
      <alignment horizontal="right" vertical="center" wrapText="1"/>
      <protection locked="0"/>
    </xf>
    <xf numFmtId="0" fontId="27" fillId="0" borderId="27" xfId="1053" applyFont="1" applyBorder="1">
      <alignment vertical="center" wrapText="1"/>
    </xf>
    <xf numFmtId="0" fontId="80" fillId="39" borderId="0" xfId="1054" applyFont="1" applyFill="1">
      <alignment horizontal="right" vertical="center"/>
    </xf>
    <xf numFmtId="0" fontId="27" fillId="37" borderId="21" xfId="1055" applyFont="1" applyFill="1" applyBorder="1">
      <alignment horizontal="left" vertical="top" wrapText="1"/>
    </xf>
    <xf numFmtId="4" fontId="27" fillId="38" borderId="23" xfId="1056" applyFont="1" applyFill="1" applyBorder="1" applyNumberFormat="1">
      <alignment horizontal="right" vertical="center" wrapText="1"/>
      <protection locked="0"/>
    </xf>
    <xf numFmtId="49" fontId="33" fillId="34" borderId="0" xfId="1057" applyFont="1" applyFill="1" applyNumberFormat="1">
      <alignment horizontal="center" vertical="center" textRotation="90" wrapText="1"/>
    </xf>
    <xf numFmtId="0" fontId="55" fillId="0" borderId="0" xfId="1058" applyFont="1">
      <alignment horizontal="center" vertical="center" wrapText="1"/>
    </xf>
    <xf numFmtId="49" fontId="55" fillId="0" borderId="66" xfId="1059" applyFont="1" applyBorder="1" applyNumberFormat="1">
      <alignment horizontal="center" vertical="center" wrapText="1"/>
    </xf>
    <xf numFmtId="0" fontId="55" fillId="0" borderId="23" xfId="1060" applyFont="1" applyBorder="1">
      <alignment horizontal="left" vertical="center" wrapText="1" indent="2"/>
    </xf>
    <xf numFmtId="0" fontId="55" fillId="0" borderId="23" xfId="1061" applyFont="1" applyBorder="1">
      <alignment horizontal="center" vertical="center" wrapText="1"/>
    </xf>
    <xf numFmtId="0" fontId="55" fillId="0" borderId="23" xfId="1062" applyFont="1" applyBorder="1">
      <alignment vertical="center" wrapText="1"/>
    </xf>
    <xf numFmtId="0" fontId="55" fillId="0" borderId="66" xfId="1063" applyFont="1" applyBorder="1">
      <alignment horizontal="center" vertical="center" wrapText="1"/>
    </xf>
    <xf numFmtId="0" fontId="55" fillId="0" borderId="23" xfId="1064" applyFont="1" applyBorder="1">
      <alignment horizontal="left" vertical="center" wrapText="1" indent="3"/>
    </xf>
    <xf numFmtId="4" fontId="55" fillId="0" borderId="23" xfId="1065" applyFont="1" applyBorder="1" applyNumberFormat="1">
      <alignment horizontal="right" vertical="center" wrapText="1"/>
    </xf>
    <xf numFmtId="49" fontId="27" fillId="41" borderId="21" xfId="1066" applyFont="1" applyFill="1" applyBorder="1" applyNumberFormat="1">
      <alignment vertical="center" wrapText="1"/>
    </xf>
    <xf numFmtId="0" fontId="27" fillId="0" borderId="23" xfId="1067" applyFont="1" applyBorder="1">
      <alignment horizontal="left" vertical="center" wrapText="1" indent="2"/>
    </xf>
    <xf numFmtId="49" fontId="33" fillId="34" borderId="0" xfId="1068" applyFont="1" applyFill="1" applyNumberFormat="1">
      <alignment horizontal="center" vertical="center" wrapText="1"/>
    </xf>
    <xf numFmtId="437" fontId="27" fillId="38" borderId="23" xfId="1069" applyFont="1" applyFill="1" applyBorder="1" applyNumberFormat="1">
      <alignment horizontal="right" vertical="center" wrapText="1"/>
      <protection locked="0"/>
    </xf>
    <xf numFmtId="0" fontId="37" fillId="0" borderId="0" xfId="1070" applyFont="1">
      <alignment horizontal="left" vertical="center" wrapText="1"/>
    </xf>
    <xf numFmtId="4" fontId="27" fillId="37" borderId="32" xfId="1071" applyFont="1" applyFill="1" applyBorder="1" applyNumberFormat="1">
      <alignment horizontal="right" vertical="center" wrapText="1"/>
    </xf>
    <xf numFmtId="0" fontId="44" fillId="0" borderId="23" xfId="1072" applyFont="1" applyBorder="1">
      <alignment horizontal="left" vertical="center" wrapText="1" indent="3"/>
    </xf>
    <xf numFmtId="49" fontId="44" fillId="0" borderId="23" xfId="1073" applyFont="1" applyBorder="1" applyNumberFormat="1">
      <alignment vertical="center" wrapText="1"/>
    </xf>
    <xf numFmtId="0" fontId="44" fillId="0" borderId="32" xfId="1074" applyFont="1" applyBorder="1">
      <alignment vertical="top" wrapText="1"/>
    </xf>
    <xf numFmtId="0" fontId="27" fillId="0" borderId="21" xfId="1075" applyFont="1" applyBorder="1">
      <alignment horizontal="left" vertical="center" wrapText="1" indent="2"/>
    </xf>
    <xf numFmtId="4" fontId="27" fillId="38" borderId="20" xfId="1076" applyFont="1" applyFill="1" applyBorder="1" applyNumberFormat="1">
      <alignment horizontal="right" vertical="center" wrapText="1"/>
      <protection locked="0"/>
    </xf>
    <xf numFmtId="0" fontId="27" fillId="0" borderId="21" xfId="1077" applyFont="1" applyBorder="1">
      <alignment horizontal="left" vertical="center" wrapText="1" indent="1"/>
    </xf>
    <xf numFmtId="49" fontId="36" fillId="38" borderId="20" xfId="1078" applyFont="1" applyFill="1" applyBorder="1" applyNumberFormat="1">
      <alignment horizontal="left" vertical="center" wrapText="1"/>
      <protection locked="0"/>
    </xf>
    <xf numFmtId="437" fontId="27" fillId="38" borderId="20" xfId="1079" applyFont="1" applyFill="1" applyBorder="1" applyNumberFormat="1">
      <alignment horizontal="right" vertical="center" wrapText="1"/>
      <protection locked="0"/>
    </xf>
    <xf numFmtId="437" fontId="27" fillId="37" borderId="20" xfId="1080" applyFont="1" applyFill="1" applyBorder="1" applyNumberFormat="1">
      <alignment horizontal="right" vertical="center" wrapText="1"/>
    </xf>
    <xf numFmtId="437" fontId="27" fillId="37" borderId="23" xfId="1081" applyFont="1" applyFill="1" applyBorder="1" applyNumberFormat="1">
      <alignment horizontal="right" vertical="center" wrapText="1"/>
    </xf>
    <xf numFmtId="4" fontId="27" fillId="38" borderId="34" xfId="1082" applyFont="1" applyFill="1" applyBorder="1" applyNumberFormat="1">
      <alignment horizontal="right" vertical="center" wrapText="1"/>
      <protection locked="0"/>
    </xf>
    <xf numFmtId="4" fontId="27" fillId="38" borderId="30" xfId="1083" applyFont="1" applyFill="1" applyBorder="1" applyNumberFormat="1">
      <alignment horizontal="right" vertical="center" wrapText="1"/>
      <protection locked="0"/>
    </xf>
    <xf numFmtId="0" fontId="44" fillId="0" borderId="42" xfId="1084" applyFont="1" applyBorder="1">
      <alignment horizontal="left" vertical="center" wrapText="1" indent="1"/>
    </xf>
    <xf numFmtId="0" fontId="44" fillId="0" borderId="42" xfId="1085" applyFont="1" applyBorder="1">
      <alignment horizontal="center" vertical="center" wrapText="1"/>
    </xf>
    <xf numFmtId="0" fontId="44" fillId="0" borderId="32" xfId="1086" applyFont="1" applyBorder="1">
      <alignment vertical="center" wrapText="1"/>
    </xf>
    <xf numFmtId="49" fontId="27" fillId="41" borderId="33" xfId="1087" applyFont="1" applyFill="1" applyBorder="1" applyNumberFormat="1">
      <alignment vertical="center" wrapText="1"/>
    </xf>
    <xf numFmtId="49" fontId="48" fillId="41" borderId="26" xfId="1088" applyFont="1" applyFill="1" applyBorder="1" applyNumberFormat="1">
      <alignment horizontal="left" vertical="center" indent="1"/>
    </xf>
    <xf numFmtId="437" fontId="27" fillId="38" borderId="32" xfId="1089" applyFont="1" applyFill="1" applyBorder="1" applyNumberFormat="1">
      <alignment horizontal="right" vertical="center" wrapText="1"/>
      <protection locked="0"/>
    </xf>
    <xf numFmtId="0" fontId="44" fillId="0" borderId="30" xfId="1090" applyFont="1" applyBorder="1">
      <alignment horizontal="left" vertical="center" wrapText="1" indent="1"/>
    </xf>
    <xf numFmtId="0" fontId="44" fillId="0" borderId="32" xfId="1091" applyFont="1" applyBorder="1">
      <alignment horizontal="left" vertical="center" wrapText="1" indent="1"/>
    </xf>
    <xf numFmtId="49" fontId="33" fillId="0" borderId="0" xfId="1092" applyFont="1" applyNumberFormat="1">
      <alignment horizontal="center" vertical="center" wrapText="1"/>
    </xf>
    <xf numFmtId="0" fontId="67" fillId="0" borderId="0" xfId="1093" applyFont="1">
      <alignment vertical="center" wrapText="1"/>
    </xf>
    <xf numFmtId="0" fontId="27" fillId="0" borderId="45" xfId="1094" applyFont="1" applyBorder="1">
      <alignment vertical="center" wrapText="1"/>
    </xf>
    <xf numFmtId="0" fontId="84" fillId="39" borderId="0" xfId="1095" applyFont="1" applyFill="1">
      <alignment horizontal="right" vertical="center"/>
    </xf>
    <xf numFmtId="49" fontId="44" fillId="0" borderId="32" xfId="1096" applyFont="1" applyBorder="1" applyNumberFormat="1">
      <alignment horizontal="center" vertical="center" wrapText="1"/>
    </xf>
    <xf numFmtId="49" fontId="44" fillId="0" borderId="42" xfId="1097" applyFont="1" applyBorder="1" applyNumberFormat="1">
      <alignment horizontal="center" vertical="center" wrapText="1"/>
    </xf>
    <xf numFmtId="49" fontId="44" fillId="0" borderId="30" xfId="1098" applyFont="1" applyBorder="1" applyNumberFormat="1">
      <alignment horizontal="center" vertical="center" wrapText="1"/>
    </xf>
    <xf numFmtId="49" fontId="48" fillId="0" borderId="26" xfId="1099" applyFont="1" applyBorder="1" applyNumberFormat="1">
      <alignment horizontal="right" vertical="center"/>
    </xf>
    <xf numFmtId="49" fontId="28" fillId="0" borderId="0" xfId="1100" applyFont="1" applyNumberFormat="1">
      <alignment horizontal="center" vertical="center" wrapText="1"/>
    </xf>
    <xf numFmtId="0" fontId="44" fillId="0" borderId="21" xfId="1101" applyFont="1" applyBorder="1">
      <alignment vertical="center" wrapText="1"/>
    </xf>
    <xf numFmtId="0" fontId="44" fillId="0" borderId="25" xfId="1102" applyFont="1" applyBorder="1">
      <alignment horizontal="right" vertical="center" wrapText="1" indent="1"/>
    </xf>
    <xf numFmtId="0" fontId="44" fillId="0" borderId="20" xfId="1103" applyFont="1" applyBorder="1">
      <alignment horizontal="right" vertical="center" wrapText="1" indent="1"/>
    </xf>
    <xf numFmtId="0" fontId="44" fillId="0" borderId="21" xfId="1104" applyFont="1" applyBorder="1">
      <alignment horizontal="left" vertical="top" wrapText="1"/>
    </xf>
    <xf numFmtId="49" fontId="27" fillId="0" borderId="66" xfId="1105" applyFont="1" applyBorder="1" applyNumberFormat="1">
      <alignment horizontal="center" vertical="center" wrapText="1"/>
    </xf>
    <xf numFmtId="0" fontId="89" fillId="0" borderId="0" xfId="1106" applyFont="1">
      <alignment vertical="center" wrapText="1"/>
    </xf>
    <xf numFmtId="49" fontId="27" fillId="0" borderId="67" xfId="1107" applyFont="1" applyBorder="1" applyNumberFormat="1">
      <alignment horizontal="center" vertical="center" wrapText="1"/>
    </xf>
    <xf numFmtId="49" fontId="27" fillId="0" borderId="68" xfId="1108" applyFont="1" applyBorder="1" applyNumberFormat="1">
      <alignment horizontal="center" vertical="center" wrapText="1"/>
    </xf>
    <xf numFmtId="4" fontId="27" fillId="38" borderId="32" xfId="1109" applyFont="1" applyFill="1" applyBorder="1" applyNumberFormat="1">
      <alignment horizontal="right" vertical="center" wrapText="1"/>
      <protection locked="0"/>
    </xf>
    <xf numFmtId="49" fontId="48" fillId="41" borderId="26" xfId="1110" applyFont="1" applyFill="1" applyBorder="1" applyNumberFormat="1">
      <alignment horizontal="left" vertical="center" indent="2"/>
    </xf>
    <xf numFmtId="49" fontId="23" fillId="0" borderId="23" xfId="1111" applyFont="1" applyBorder="1" applyNumberFormat="1">
      <alignment horizontal="left" vertical="center" wrapText="1" indent="2"/>
    </xf>
    <xf numFmtId="49" fontId="27" fillId="0" borderId="69" xfId="1112" applyFont="1" applyBorder="1" applyNumberFormat="1">
      <alignment horizontal="center" vertical="center" wrapText="1"/>
    </xf>
    <xf numFmtId="0" fontId="44" fillId="0" borderId="45" xfId="1113" applyFont="1" applyBorder="1">
      <alignment vertical="center" wrapText="1"/>
    </xf>
    <xf numFmtId="0" fontId="27" fillId="37" borderId="20" xfId="1114" applyFont="1" applyFill="1" applyBorder="1">
      <alignment horizontal="left" vertical="top" wrapText="1"/>
    </xf>
    <xf numFmtId="49" fontId="27" fillId="52" borderId="0" xfId="1115" applyFont="1" applyFill="1" applyNumberFormat="1">
      <alignment horizontal="center" vertical="center" textRotation="90" wrapText="1"/>
    </xf>
    <xf numFmtId="49" fontId="36" fillId="35" borderId="21" xfId="1116" applyFont="1" applyFill="1" applyBorder="1" applyNumberFormat="1">
      <alignment horizontal="left" vertical="center" wrapText="1"/>
      <protection locked="0"/>
    </xf>
    <xf numFmtId="0" fontId="90" fillId="0" borderId="28" xfId="1117" applyFont="1" applyBorder="1">
      <alignment vertical="center" wrapText="1"/>
    </xf>
    <xf numFmtId="4" fontId="27" fillId="35" borderId="23" xfId="1118" applyFont="1" applyFill="1" applyBorder="1" applyNumberFormat="1">
      <alignment horizontal="left" vertical="center" wrapText="1"/>
      <protection locked="0"/>
    </xf>
    <xf numFmtId="4" fontId="27" fillId="35" borderId="21" xfId="1119" applyFont="1" applyFill="1" applyBorder="1" applyNumberFormat="1">
      <alignment horizontal="left" vertical="center" wrapText="1"/>
      <protection locked="0"/>
    </xf>
    <xf numFmtId="49" fontId="36" fillId="0" borderId="23" xfId="1120" applyFont="1" applyBorder="1" applyNumberFormat="1">
      <alignment horizontal="left" vertical="center" wrapText="1"/>
    </xf>
    <xf numFmtId="49" fontId="27" fillId="0" borderId="52" xfId="1121" applyFont="1" applyBorder="1" applyNumberFormat="1">
      <alignment horizontal="center" vertical="center" wrapText="1"/>
    </xf>
    <xf numFmtId="0" fontId="27" fillId="0" borderId="52" xfId="1122" applyFont="1" applyBorder="1">
      <alignment horizontal="left" vertical="center" wrapText="1"/>
    </xf>
    <xf numFmtId="4" fontId="27" fillId="0" borderId="70" xfId="1123" applyFont="1" applyBorder="1" applyNumberFormat="1">
      <alignment horizontal="center" vertical="center" wrapText="1"/>
    </xf>
    <xf numFmtId="49" fontId="36" fillId="0" borderId="35" xfId="1124" applyFont="1" applyBorder="1" applyNumberFormat="1">
      <alignment horizontal="left" vertical="center" wrapText="1"/>
    </xf>
    <xf numFmtId="49" fontId="27" fillId="0" borderId="49" xfId="1125" applyFont="1" applyBorder="1" applyNumberFormat="1">
      <alignment horizontal="center" vertical="center" wrapText="1"/>
    </xf>
    <xf numFmtId="0" fontId="27" fillId="0" borderId="54" xfId="1126" applyFont="1" applyBorder="1">
      <alignment horizontal="left" vertical="center" wrapText="1" indent="1"/>
    </xf>
    <xf numFmtId="49" fontId="36" fillId="0" borderId="21" xfId="1127" applyFont="1" applyBorder="1" applyNumberFormat="1">
      <alignment horizontal="left" vertical="center" wrapText="1"/>
    </xf>
    <xf numFmtId="4" fontId="27" fillId="0" borderId="32" xfId="1128" applyFont="1" applyBorder="1" applyNumberFormat="1">
      <alignment horizontal="center" vertical="center" wrapText="1"/>
    </xf>
    <xf numFmtId="4" fontId="27" fillId="38" borderId="71" xfId="1129" applyFont="1" applyFill="1" applyBorder="1" applyNumberFormat="1">
      <alignment horizontal="right" vertical="center" wrapText="1"/>
      <protection locked="0"/>
    </xf>
    <xf numFmtId="0" fontId="27" fillId="0" borderId="54" xfId="1130" applyFont="1" applyBorder="1">
      <alignment horizontal="left" vertical="center" wrapText="1"/>
    </xf>
    <xf numFmtId="49" fontId="36" fillId="0" borderId="25" xfId="1131" applyFont="1" applyBorder="1" applyNumberFormat="1">
      <alignment horizontal="left" vertical="center" wrapText="1"/>
    </xf>
    <xf numFmtId="0" fontId="27" fillId="0" borderId="49" xfId="1132" applyFont="1" applyBorder="1">
      <alignment horizontal="left" vertical="center" wrapText="1" indent="1"/>
    </xf>
    <xf numFmtId="4" fontId="27" fillId="0" borderId="52" xfId="1133" applyFont="1" applyBorder="1" applyNumberFormat="1">
      <alignment horizontal="center" vertical="center" wrapText="1"/>
    </xf>
    <xf numFmtId="0" fontId="27" fillId="0" borderId="49" xfId="1134" applyFont="1" applyBorder="1">
      <alignment horizontal="left" vertical="center" wrapText="1"/>
    </xf>
    <xf numFmtId="0" fontId="27" fillId="0" borderId="49" xfId="1135" applyFont="1" applyBorder="1">
      <alignment horizontal="left" vertical="center" wrapText="1" indent="2"/>
    </xf>
    <xf numFmtId="4" fontId="27" fillId="0" borderId="49" xfId="1136" applyFont="1" applyBorder="1" applyNumberFormat="1">
      <alignment horizontal="center" vertical="center" wrapText="1"/>
    </xf>
    <xf numFmtId="49" fontId="27" fillId="0" borderId="53" xfId="1137" applyFont="1" applyBorder="1" applyNumberFormat="1">
      <alignment horizontal="center" vertical="center" wrapText="1"/>
    </xf>
    <xf numFmtId="0" fontId="27" fillId="0" borderId="71" xfId="1138" applyFont="1" applyBorder="1">
      <alignment horizontal="left" vertical="center" wrapText="1"/>
    </xf>
    <xf numFmtId="4" fontId="27" fillId="0" borderId="71" xfId="1139" applyFont="1" applyBorder="1" applyNumberFormat="1">
      <alignment horizontal="center" vertical="center" wrapText="1"/>
    </xf>
    <xf numFmtId="49" fontId="36" fillId="0" borderId="33" xfId="1140" applyFont="1" applyBorder="1" applyNumberFormat="1">
      <alignment horizontal="left" vertical="center" wrapText="1"/>
    </xf>
    <xf numFmtId="49" fontId="27" fillId="0" borderId="54" xfId="1141" applyFont="1" applyBorder="1" applyNumberFormat="1">
      <alignment horizontal="center" vertical="center" wrapText="1"/>
    </xf>
    <xf numFmtId="4" fontId="27" fillId="38" borderId="21" xfId="1142" applyFont="1" applyFill="1" applyBorder="1" applyNumberFormat="1">
      <alignment horizontal="right" vertical="center" wrapText="1"/>
      <protection locked="0"/>
    </xf>
    <xf numFmtId="4" fontId="27" fillId="0" borderId="54" xfId="1143" applyFont="1" applyBorder="1" applyNumberFormat="1">
      <alignment horizontal="center" vertical="center" wrapText="1"/>
    </xf>
    <xf numFmtId="4" fontId="27" fillId="38" borderId="53" xfId="1144" applyFont="1" applyFill="1" applyBorder="1" applyNumberFormat="1">
      <alignment horizontal="right" vertical="center" wrapText="1"/>
      <protection locked="0"/>
    </xf>
    <xf numFmtId="0" fontId="37" fillId="53" borderId="23" xfId="1145" applyFont="1" applyFill="1" applyBorder="1">
      <alignment horizontal="left" vertical="center" wrapText="1"/>
    </xf>
    <xf numFmtId="0" fontId="27" fillId="49" borderId="23" xfId="1146" applyFont="1" applyFill="1" applyBorder="1">
      <alignment vertical="center"/>
    </xf>
    <xf numFmtId="49" fontId="23" fillId="7" borderId="23" xfId="1147" applyFont="1" applyFill="1" applyBorder="1" applyNumberFormat="1">
      <alignment horizontal="center" vertical="center" wrapText="1"/>
    </xf>
    <xf numFmtId="49" fontId="91" fillId="0" borderId="32" xfId="1148" applyFont="1" applyBorder="1" applyNumberFormat="1">
      <alignment horizontal="center" vertical="center" wrapText="1"/>
    </xf>
    <xf numFmtId="49" fontId="91" fillId="0" borderId="23" xfId="1149" applyFont="1" applyBorder="1" applyNumberFormat="1">
      <alignment horizontal="center" vertical="center" wrapText="1"/>
    </xf>
    <xf numFmtId="0" fontId="27" fillId="0" borderId="26" xfId="1150" applyFont="1" applyBorder="1">
      <alignment horizontal="right" vertical="center" wrapText="1" indent="1"/>
    </xf>
    <xf numFmtId="4" fontId="27" fillId="38" borderId="33" xfId="1151" applyFont="1" applyFill="1" applyBorder="1" applyNumberFormat="1">
      <alignment horizontal="right" vertical="center" wrapText="1"/>
      <protection locked="0"/>
    </xf>
    <xf numFmtId="0" fontId="37" fillId="41" borderId="25" xfId="1152" applyFont="1" applyFill="1" applyBorder="1">
      <alignment vertical="center" wrapText="1"/>
    </xf>
    <xf numFmtId="3" fontId="27" fillId="38" borderId="21" xfId="1153" applyFont="1" applyFill="1" applyBorder="1" applyNumberFormat="1">
      <alignment horizontal="right" vertical="center" wrapText="1"/>
      <protection locked="0"/>
    </xf>
    <xf numFmtId="0" fontId="27" fillId="39" borderId="27" xfId="1154" applyFont="1" applyFill="1" applyBorder="1">
      <alignment horizontal="center" vertical="center" wrapText="1"/>
    </xf>
    <xf numFmtId="0" fontId="23" fillId="39" borderId="32" xfId="1155" applyFont="1" applyFill="1" applyBorder="1">
      <alignment horizontal="center" vertical="center" wrapText="1"/>
    </xf>
    <xf numFmtId="49" fontId="27" fillId="0" borderId="21" xfId="1156" applyFont="1" applyBorder="1" applyNumberFormat="1">
      <alignment horizontal="center" vertical="center" wrapText="1"/>
    </xf>
    <xf numFmtId="0" fontId="27" fillId="41" borderId="34" xfId="1157" applyFont="1" applyFill="1" applyBorder="1">
      <alignment vertical="center" wrapText="1"/>
    </xf>
    <xf numFmtId="0" fontId="27" fillId="39" borderId="19" xfId="1158" applyFont="1" applyFill="1" applyBorder="1">
      <alignment vertical="center" wrapText="1"/>
    </xf>
    <xf numFmtId="49" fontId="57" fillId="0" borderId="19" xfId="1159" applyFont="1" applyBorder="1" applyNumberFormat="1">
      <alignment vertical="top"/>
    </xf>
    <xf numFmtId="0" fontId="31" fillId="39" borderId="19" xfId="1160" applyFont="1" applyFill="1" applyBorder="1">
      <alignment horizontal="center" wrapText="1"/>
    </xf>
    <xf numFmtId="0" fontId="27" fillId="0" borderId="15" xfId="1161" applyFont="1" applyBorder="1">
      <alignment horizontal="center" vertical="center"/>
    </xf>
    <xf numFmtId="0" fontId="27" fillId="0" borderId="16" xfId="1162" applyFont="1" applyBorder="1">
      <alignment horizontal="center" vertical="center"/>
    </xf>
    <xf numFmtId="0" fontId="27" fillId="0" borderId="17" xfId="1163" applyFont="1" applyBorder="1">
      <alignment horizontal="center" vertical="center"/>
    </xf>
    <xf numFmtId="0" fontId="27" fillId="0" borderId="13" xfId="1164" applyFont="1" applyBorder="1">
      <alignment vertical="center" wrapText="1"/>
    </xf>
    <xf numFmtId="0" fontId="27" fillId="39" borderId="26" xfId="1165" applyFont="1" applyFill="1" applyBorder="1">
      <alignment vertical="center" wrapText="1"/>
    </xf>
    <xf numFmtId="0" fontId="44" fillId="0" borderId="19" xfId="1166" applyFont="1" applyBorder="1">
      <alignment vertical="center" wrapText="1"/>
    </xf>
    <xf numFmtId="0" fontId="27" fillId="0" borderId="72" xfId="1167" applyFont="1" applyBorder="1">
      <alignment horizontal="center" vertical="center"/>
    </xf>
    <xf numFmtId="0" fontId="27" fillId="0" borderId="44" xfId="1168" applyFont="1" applyBorder="1">
      <alignment horizontal="center" vertical="center"/>
    </xf>
    <xf numFmtId="0" fontId="27" fillId="0" borderId="13" xfId="1169" applyFont="1" applyBorder="1">
      <alignment vertical="center"/>
    </xf>
    <xf numFmtId="49" fontId="23" fillId="0" borderId="32" xfId="1170" applyFont="1" applyBorder="1" applyNumberFormat="1">
      <alignment horizontal="center" vertical="center" wrapText="1"/>
    </xf>
    <xf numFmtId="49" fontId="27" fillId="0" borderId="28" xfId="1171" applyFont="1" applyBorder="1" applyNumberFormat="1">
      <alignment vertical="top"/>
    </xf>
    <xf numFmtId="49" fontId="23" fillId="0" borderId="42" xfId="1172" applyFont="1" applyBorder="1" applyNumberFormat="1">
      <alignment horizontal="center" vertical="center" wrapText="1"/>
    </xf>
    <xf numFmtId="49" fontId="23" fillId="0" borderId="30" xfId="1173" applyFont="1" applyBorder="1" applyNumberFormat="1">
      <alignment horizontal="center" vertical="center" wrapText="1"/>
    </xf>
    <xf numFmtId="49" fontId="23" fillId="37" borderId="23" xfId="1174" applyFont="1" applyFill="1" applyBorder="1" applyNumberFormat="1">
      <alignment horizontal="center" vertical="center"/>
    </xf>
    <xf numFmtId="4" fontId="23" fillId="35" borderId="23" xfId="1175" applyFont="1" applyFill="1" applyBorder="1" applyNumberFormat="1">
      <alignment horizontal="right" vertical="center" wrapText="1"/>
      <protection locked="0"/>
    </xf>
    <xf numFmtId="49" fontId="23" fillId="0" borderId="23" xfId="1176" applyFont="1" applyBorder="1" applyNumberFormat="1">
      <alignment horizontal="left" vertical="center" wrapText="1" indent="3"/>
    </xf>
    <xf numFmtId="49" fontId="49" fillId="0" borderId="0" xfId="1177" applyFont="1" applyNumberFormat="1">
      <alignment vertical="center"/>
    </xf>
    <xf numFmtId="49" fontId="49" fillId="0" borderId="0" xfId="1178" applyFont="1" applyNumberFormat="1">
      <alignment vertical="center" wrapText="1"/>
    </xf>
    <xf numFmtId="49" fontId="27" fillId="39" borderId="0" xfId="1179" applyFont="1" applyFill="1" applyNumberFormat="1">
      <alignment horizontal="center" vertical="top" wrapText="1"/>
    </xf>
    <xf numFmtId="0" fontId="27" fillId="0" borderId="27" xfId="1180" applyFont="1" applyBorder="1">
      <alignment horizontal="left" vertical="top" wrapText="1"/>
    </xf>
    <xf numFmtId="49" fontId="27" fillId="0" borderId="0" xfId="1181" applyFont="1" applyNumberFormat="1">
      <alignment horizontal="center" vertical="top" wrapText="1"/>
    </xf>
    <xf numFmtId="49" fontId="27" fillId="0" borderId="0" xfId="1182" applyFont="1" applyNumberFormat="1">
      <alignment horizontal="center" vertical="center" wrapText="1"/>
    </xf>
    <xf numFmtId="49" fontId="49" fillId="0" borderId="0" xfId="1183" applyFont="1" applyNumberFormat="1">
      <alignment horizontal="center" vertical="center" wrapText="1"/>
    </xf>
    <xf numFmtId="0" fontId="27" fillId="45" borderId="21" xfId="1184" applyFont="1" applyFill="1" applyBorder="1">
      <alignment horizontal="center" vertical="center" wrapText="1"/>
    </xf>
    <xf numFmtId="0" fontId="27" fillId="45" borderId="25" xfId="1185" applyFont="1" applyFill="1" applyBorder="1">
      <alignment horizontal="center" vertical="center" wrapText="1"/>
    </xf>
    <xf numFmtId="0" fontId="27" fillId="45" borderId="20" xfId="1186" applyFont="1" applyFill="1" applyBorder="1">
      <alignment horizontal="center" vertical="center" wrapText="1"/>
    </xf>
    <xf numFmtId="49" fontId="37" fillId="44" borderId="21" xfId="1187" applyFont="1" applyFill="1" applyBorder="1" applyNumberFormat="1">
      <alignment horizontal="center" vertical="center" wrapText="1"/>
    </xf>
    <xf numFmtId="49" fontId="37" fillId="44" borderId="25" xfId="1188" applyFont="1" applyFill="1" applyBorder="1" applyNumberFormat="1">
      <alignment horizontal="center" vertical="center" wrapText="1"/>
    </xf>
    <xf numFmtId="49" fontId="37" fillId="44" borderId="20" xfId="1189" applyFont="1" applyFill="1" applyBorder="1" applyNumberFormat="1">
      <alignment horizontal="center" vertical="center" wrapText="1"/>
    </xf>
    <xf numFmtId="49" fontId="37" fillId="46" borderId="21" xfId="1190" applyFont="1" applyFill="1" applyBorder="1" applyNumberFormat="1">
      <alignment horizontal="center" vertical="center" wrapText="1"/>
    </xf>
    <xf numFmtId="49" fontId="37" fillId="46" borderId="25" xfId="1191" applyFont="1" applyFill="1" applyBorder="1" applyNumberFormat="1">
      <alignment horizontal="center" vertical="center" wrapText="1"/>
    </xf>
    <xf numFmtId="49" fontId="37" fillId="46" borderId="20" xfId="1192" applyFont="1" applyFill="1" applyBorder="1" applyNumberFormat="1">
      <alignment horizontal="center" vertical="center" wrapText="1"/>
    </xf>
    <xf numFmtId="49" fontId="27" fillId="47" borderId="21" xfId="1193" applyFont="1" applyFill="1" applyBorder="1" applyNumberFormat="1">
      <alignment horizontal="center" vertical="center" wrapText="1"/>
    </xf>
    <xf numFmtId="49" fontId="27" fillId="47" borderId="25" xfId="1194" applyFont="1" applyFill="1" applyBorder="1" applyNumberFormat="1">
      <alignment horizontal="center" vertical="center" wrapText="1"/>
    </xf>
    <xf numFmtId="49" fontId="27" fillId="43" borderId="26" xfId="1195" applyFont="1" applyFill="1" applyBorder="1" applyNumberFormat="1">
      <alignment horizontal="center" vertical="center" wrapText="1"/>
    </xf>
    <xf numFmtId="49" fontId="27" fillId="43" borderId="0" xfId="1196" applyFont="1" applyFill="1" applyNumberFormat="1">
      <alignment horizontal="center" vertical="center" wrapText="1"/>
    </xf>
    <xf numFmtId="49" fontId="27" fillId="0" borderId="25" xfId="1197" applyFont="1" applyBorder="1" applyNumberFormat="1">
      <alignment horizontal="center" vertical="center" wrapText="1"/>
    </xf>
    <xf numFmtId="49" fontId="49" fillId="39" borderId="0" xfId="1198" applyFont="1" applyFill="1" applyNumberFormat="1">
      <alignment vertical="center" wrapText="1"/>
    </xf>
    <xf numFmtId="49" fontId="27" fillId="43" borderId="23" xfId="1199" applyFont="1" applyFill="1" applyBorder="1" applyNumberFormat="1">
      <alignment horizontal="center" vertical="center" wrapText="1"/>
    </xf>
    <xf numFmtId="0" fontId="27" fillId="43" borderId="23" xfId="1200" applyFont="1" applyFill="1" applyBorder="1">
      <alignment horizontal="center" vertical="center" wrapText="1"/>
    </xf>
    <xf numFmtId="0" fontId="27" fillId="43" borderId="21" xfId="1201" applyFont="1" applyFill="1" applyBorder="1">
      <alignment horizontal="center" vertical="center" wrapText="1"/>
    </xf>
    <xf numFmtId="0" fontId="27" fillId="43" borderId="20" xfId="1202" applyFont="1" applyFill="1" applyBorder="1">
      <alignment horizontal="center" vertical="center" wrapText="1"/>
    </xf>
    <xf numFmtId="49" fontId="27" fillId="43" borderId="45" xfId="1203" applyFont="1" applyFill="1" applyBorder="1" applyNumberFormat="1">
      <alignment horizontal="center" vertical="center" wrapText="1"/>
    </xf>
    <xf numFmtId="49" fontId="47" fillId="0" borderId="23" xfId="1204" applyFont="1" applyBorder="1" applyNumberFormat="1">
      <alignment horizontal="center" vertical="center"/>
    </xf>
    <xf numFmtId="49" fontId="47" fillId="43" borderId="23" xfId="1205" applyFont="1" applyFill="1" applyBorder="1" applyNumberFormat="1">
      <alignment horizontal="center" vertical="center"/>
    </xf>
    <xf numFmtId="0" fontId="47" fillId="0" borderId="23" xfId="1206" applyFont="1" applyBorder="1">
      <alignment horizontal="center" vertical="center"/>
    </xf>
    <xf numFmtId="49" fontId="47" fillId="0" borderId="30" xfId="1207" applyFont="1" applyBorder="1" applyNumberFormat="1">
      <alignment horizontal="center" vertical="center"/>
    </xf>
    <xf numFmtId="49" fontId="37" fillId="0" borderId="32" xfId="1208" applyFont="1" applyBorder="1" applyNumberFormat="1">
      <alignment horizontal="center" vertical="center"/>
    </xf>
    <xf numFmtId="0" fontId="27" fillId="0" borderId="32" xfId="1209" applyFont="1" applyBorder="1">
      <alignment horizontal="right" vertical="center"/>
    </xf>
    <xf numFmtId="0" fontId="27" fillId="0" borderId="32" xfId="1210" applyFont="1" applyBorder="1">
      <alignment horizontal="center" vertical="center"/>
    </xf>
    <xf numFmtId="4" fontId="49" fillId="39" borderId="0" xfId="1211" applyFont="1" applyFill="1" applyNumberFormat="1">
      <alignment vertical="center"/>
    </xf>
    <xf numFmtId="49" fontId="92" fillId="0" borderId="0" xfId="1212" applyFont="1" applyNumberFormat="1">
      <alignment vertical="center" wrapText="1"/>
    </xf>
    <xf numFmtId="0" fontId="93" fillId="39" borderId="0" xfId="1213" applyFont="1" applyFill="1">
      <alignment horizontal="center" vertical="center" wrapText="1"/>
    </xf>
    <xf numFmtId="0" fontId="28" fillId="39" borderId="0" xfId="1214" applyFont="1" applyFill="1"/>
    <xf numFmtId="49" fontId="27" fillId="0" borderId="0" xfId="1215" applyFont="1" applyNumberFormat="1">
      <alignment horizontal="left" vertical="top" wrapText="1"/>
    </xf>
    <xf numFmtId="49" fontId="50" fillId="0" borderId="0" xfId="1216" applyFont="1" applyNumberFormat="1">
      <alignment horizontal="center" vertical="center"/>
    </xf>
    <xf numFmtId="0" fontId="27" fillId="0" borderId="0" xfId="1217" applyFont="1"/>
    <xf numFmtId="0" fontId="50" fillId="39" borderId="0" xfId="1218" applyFont="1" applyFill="1">
      <alignment horizontal="center" vertical="center"/>
    </xf>
    <xf numFmtId="0" fontId="27" fillId="39" borderId="32" xfId="1219" applyFont="1" applyFill="1" applyBorder="1">
      <alignment horizontal="center" vertical="center"/>
    </xf>
    <xf numFmtId="49" fontId="48" fillId="41" borderId="20" xfId="1220" applyFont="1" applyFill="1" applyBorder="1" applyNumberFormat="1">
      <alignment horizontal="left" vertical="center"/>
    </xf>
    <xf numFmtId="0" fontId="50" fillId="0" borderId="0" xfId="1221" applyFont="1">
      <alignment horizontal="center" vertical="center"/>
    </xf>
    <xf numFmtId="49" fontId="27" fillId="39" borderId="23" xfId="1222" applyFont="1" applyFill="1" applyBorder="1" applyNumberFormat="1">
      <alignment horizontal="center" vertical="center"/>
    </xf>
    <xf numFmtId="0" fontId="37" fillId="39" borderId="0" xfId="1223" applyFont="1" applyFill="1"/>
    <xf numFmtId="0" fontId="94" fillId="39" borderId="0" xfId="1224" applyFont="1" applyFill="1"/>
    <xf numFmtId="0" fontId="44" fillId="39" borderId="0" xfId="1225" applyFont="1" applyFill="1">
      <alignment horizontal="center" vertical="center" wrapText="1"/>
    </xf>
    <xf numFmtId="0" fontId="23" fillId="39" borderId="32" xfId="1226" applyFont="1" applyFill="1" applyBorder="1">
      <alignment horizontal="left" vertical="top" wrapText="1"/>
    </xf>
    <xf numFmtId="0" fontId="55" fillId="39" borderId="0" xfId="1227" applyFont="1" applyFill="1">
      <alignment vertical="center" wrapText="1"/>
    </xf>
    <xf numFmtId="0" fontId="44" fillId="39" borderId="23" xfId="1228" applyFont="1" applyFill="1" applyBorder="1">
      <alignment horizontal="center" vertical="center"/>
    </xf>
    <xf numFmtId="0" fontId="23" fillId="39" borderId="42" xfId="1229" applyFont="1" applyFill="1" applyBorder="1">
      <alignment horizontal="left" vertical="top" wrapText="1"/>
    </xf>
    <xf numFmtId="0" fontId="56" fillId="39" borderId="0" xfId="1230" applyFont="1" applyFill="1"/>
    <xf numFmtId="0" fontId="23" fillId="39" borderId="30" xfId="1231" applyFont="1" applyFill="1" applyBorder="1">
      <alignment horizontal="left" vertical="top" wrapText="1"/>
    </xf>
    <xf numFmtId="0" fontId="89" fillId="39" borderId="0" xfId="1232" applyFont="1" applyFill="1"/>
    <xf numFmtId="0" fontId="27" fillId="39" borderId="23" xfId="1233" applyFont="1" applyFill="1" applyBorder="1">
      <alignment horizontal="left" vertical="top" wrapText="1"/>
    </xf>
    <xf numFmtId="49" fontId="36" fillId="35" borderId="30" xfId="1234" applyFont="1" applyFill="1" applyBorder="1" applyNumberFormat="1">
      <alignment horizontal="left" vertical="center" wrapText="1"/>
      <protection locked="0"/>
    </xf>
    <xf numFmtId="0" fontId="27" fillId="39" borderId="23" xfId="1235" applyFont="1" applyFill="1" applyBorder="1">
      <alignment vertical="top" wrapText="1"/>
    </xf>
    <xf numFmtId="14" fontId="27" fillId="38" borderId="21" xfId="1236" applyFont="1" applyFill="1" applyBorder="1" applyNumberFormat="1">
      <alignment horizontal="left" vertical="center" wrapText="1" indent="1"/>
      <protection locked="0"/>
    </xf>
    <xf numFmtId="0" fontId="37" fillId="0" borderId="42" xfId="1237" applyFont="1" applyBorder="1">
      <alignment horizontal="left" vertical="center" wrapText="1" indent="1"/>
    </xf>
    <xf numFmtId="435" fontId="27" fillId="0" borderId="33" xfId="1238" applyFont="1" applyBorder="1" applyNumberFormat="1">
      <alignment horizontal="center" vertical="center" wrapText="1"/>
    </xf>
    <xf numFmtId="435" fontId="27" fillId="0" borderId="32" xfId="1239" applyFont="1" applyBorder="1" applyNumberFormat="1">
      <alignment horizontal="center" vertical="center" wrapText="1"/>
    </xf>
    <xf numFmtId="4" fontId="27" fillId="0" borderId="30" xfId="1240" applyFont="1" applyBorder="1" applyNumberFormat="1">
      <alignment horizontal="center" vertical="center" wrapText="1"/>
    </xf>
    <xf numFmtId="14" fontId="27" fillId="40" borderId="23" xfId="1241" applyFont="1" applyFill="1" applyBorder="1" applyNumberFormat="1">
      <alignment horizontal="left" vertical="center" wrapText="1"/>
    </xf>
    <xf numFmtId="14" fontId="27" fillId="38" borderId="23" xfId="1242" applyFont="1" applyFill="1" applyBorder="1" applyNumberFormat="1">
      <alignment horizontal="left" vertical="center" wrapText="1" indent="1"/>
      <protection locked="0"/>
    </xf>
    <xf numFmtId="49" fontId="31" fillId="41" borderId="35" xfId="1243" applyFont="1" applyFill="1" applyBorder="1" applyNumberFormat="1">
      <alignment horizontal="right" vertical="center" wrapText="1"/>
    </xf>
    <xf numFmtId="49" fontId="23" fillId="41" borderId="45" xfId="1244" applyFont="1" applyFill="1" applyBorder="1" applyNumberFormat="1">
      <alignment horizontal="right" vertical="center" wrapText="1"/>
    </xf>
    <xf numFmtId="49" fontId="23" fillId="41" borderId="34" xfId="1245" applyFont="1" applyFill="1" applyBorder="1" applyNumberFormat="1">
      <alignment horizontal="right" vertical="center" wrapText="1"/>
    </xf>
    <xf numFmtId="438" fontId="23" fillId="38" borderId="25" xfId="1246" applyFont="1" applyFill="1" applyBorder="1" applyNumberFormat="1">
      <alignment horizontal="left" vertical="center" wrapText="1" indent="1"/>
      <protection locked="0"/>
    </xf>
    <xf numFmtId="439" fontId="27" fillId="38" borderId="23" xfId="1247" applyFont="1" applyFill="1" applyBorder="1" applyNumberFormat="1">
      <alignment horizontal="left" vertical="center" wrapText="1" indent="1"/>
      <protection locked="0"/>
    </xf>
    <xf numFmtId="0" fontId="95" fillId="0" borderId="0" xfId="1248" applyFont="1">
      <alignment vertical="center"/>
    </xf>
    <xf numFmtId="438" fontId="44" fillId="0" borderId="0" xfId="1249" applyFont="1" applyNumberFormat="1">
      <alignment horizontal="center" vertical="center" wrapText="1"/>
    </xf>
    <xf numFmtId="435" fontId="27" fillId="0" borderId="25" xfId="1250" applyFont="1" applyBorder="1" applyNumberFormat="1">
      <alignment horizontal="center" vertical="center" wrapText="1"/>
    </xf>
    <xf numFmtId="435" fontId="27" fillId="0" borderId="20" xfId="1251" applyFont="1" applyBorder="1" applyNumberFormat="1">
      <alignment horizontal="center" vertical="center" wrapText="1"/>
    </xf>
    <xf numFmtId="4" fontId="27" fillId="0" borderId="42" xfId="1252" applyFont="1" applyBorder="1" applyNumberFormat="1">
      <alignment horizontal="center" vertical="center" wrapText="1"/>
    </xf>
    <xf numFmtId="435" fontId="27" fillId="0" borderId="30" xfId="1253" applyFont="1" applyBorder="1" applyNumberFormat="1">
      <alignment horizontal="center" vertical="center" wrapText="1"/>
    </xf>
    <xf numFmtId="0" fontId="27" fillId="37" borderId="30" xfId="1254" applyFont="1" applyFill="1" applyBorder="1">
      <alignment horizontal="left" vertical="center" wrapText="1" indent="1"/>
    </xf>
    <xf numFmtId="14" fontId="27" fillId="38" borderId="30" xfId="1255" applyFont="1" applyFill="1" applyBorder="1" applyNumberFormat="1">
      <alignment horizontal="left" vertical="center" wrapText="1" indent="1"/>
      <protection locked="0"/>
    </xf>
    <xf numFmtId="0" fontId="27" fillId="0" borderId="34" xfId="1256" applyFont="1" applyBorder="1">
      <alignment horizontal="left" vertical="top" wrapText="1"/>
    </xf>
    <xf numFmtId="14" fontId="27" fillId="0" borderId="30" xfId="1257" applyFont="1" applyBorder="1" applyNumberFormat="1">
      <alignment horizontal="left" vertical="center" wrapText="1" indent="1"/>
    </xf>
    <xf numFmtId="49" fontId="36" fillId="41" borderId="45" xfId="1258" applyFont="1" applyFill="1" applyBorder="1" applyNumberFormat="1">
      <alignment horizontal="left" vertical="center" wrapText="1"/>
    </xf>
    <xf numFmtId="49" fontId="36" fillId="41" borderId="34" xfId="1259" applyFont="1" applyFill="1" applyBorder="1" applyNumberFormat="1">
      <alignment horizontal="left" vertical="center" wrapText="1"/>
    </xf>
    <xf numFmtId="0" fontId="27" fillId="39" borderId="42" xfId="1260" applyFont="1" applyFill="1" applyBorder="1">
      <alignment vertical="center" wrapText="1"/>
    </xf>
    <xf numFmtId="0" fontId="44" fillId="0" borderId="45" xfId="1261" applyFont="1" applyBorder="1">
      <alignment horizontal="center" vertical="center" wrapText="1"/>
    </xf>
    <xf numFmtId="0" fontId="27" fillId="39" borderId="28" xfId="1262" applyFont="1" applyFill="1" applyBorder="1">
      <alignment vertical="center" wrapText="1"/>
    </xf>
    <xf numFmtId="0" fontId="27" fillId="0" borderId="25" xfId="1263" applyFont="1" applyBorder="1">
      <alignment horizontal="left" vertical="center" wrapText="1"/>
    </xf>
    <xf numFmtId="435" fontId="49" fillId="0" borderId="26" xfId="1264" applyFont="1" applyBorder="1" applyNumberFormat="1">
      <alignment horizontal="center" vertical="center" wrapText="1"/>
    </xf>
    <xf numFmtId="435" fontId="49" fillId="0" borderId="27" xfId="1265" applyFont="1" applyBorder="1" applyNumberFormat="1">
      <alignment horizontal="center" vertical="center" wrapText="1"/>
    </xf>
    <xf numFmtId="0" fontId="46" fillId="0" borderId="0" xfId="1266" applyFont="1">
      <alignment horizontal="center" vertical="center" wrapText="1"/>
    </xf>
    <xf numFmtId="435" fontId="27" fillId="0" borderId="42" xfId="1267" applyFont="1" applyBorder="1" applyNumberFormat="1">
      <alignment horizontal="center" vertical="center" wrapText="1"/>
    </xf>
    <xf numFmtId="0" fontId="27" fillId="37" borderId="34" xfId="1268" applyFont="1" applyFill="1" applyBorder="1">
      <alignment horizontal="left" vertical="center" wrapText="1"/>
    </xf>
    <xf numFmtId="49" fontId="27" fillId="40" borderId="35" xfId="1269" applyFont="1" applyFill="1" applyBorder="1" applyNumberFormat="1">
      <alignment horizontal="left" vertical="center" wrapText="1"/>
    </xf>
    <xf numFmtId="49" fontId="27" fillId="38" borderId="45" xfId="1270" applyFont="1" applyFill="1" applyBorder="1" applyNumberFormat="1">
      <alignment horizontal="left" vertical="center" wrapText="1"/>
      <protection locked="0"/>
    </xf>
    <xf numFmtId="49" fontId="27" fillId="38" borderId="35" xfId="1271" applyFont="1" applyFill="1" applyBorder="1" applyNumberFormat="1">
      <alignment horizontal="left" vertical="center" wrapText="1"/>
      <protection locked="0"/>
    </xf>
    <xf numFmtId="49" fontId="27" fillId="0" borderId="23" xfId="1272" applyFont="1" applyBorder="1" applyNumberFormat="1">
      <alignment horizontal="left" vertical="top" wrapText="1"/>
    </xf>
    <xf numFmtId="49" fontId="96" fillId="0" borderId="23" xfId="1273" applyFont="1" applyBorder="1" applyNumberFormat="1">
      <alignment horizontal="left" vertical="top" wrapText="1"/>
    </xf>
    <xf numFmtId="49" fontId="23" fillId="0" borderId="23" xfId="1274" applyFont="1" applyBorder="1" applyNumberFormat="1">
      <alignment horizontal="center" vertical="top"/>
    </xf>
    <xf numFmtId="49" fontId="23" fillId="0" borderId="21" xfId="1275" applyFont="1" applyBorder="1" applyNumberFormat="1">
      <alignment horizontal="center" vertical="top"/>
    </xf>
    <xf numFmtId="49" fontId="23" fillId="54" borderId="32" xfId="1276" applyFont="1" applyFill="1" applyBorder="1" applyNumberFormat="1">
      <alignment vertical="top"/>
    </xf>
    <xf numFmtId="49" fontId="23" fillId="55" borderId="23" xfId="1277" applyFont="1" applyFill="1" applyBorder="1" applyNumberFormat="1">
      <alignment vertical="top"/>
    </xf>
    <xf numFmtId="49" fontId="23" fillId="0" borderId="25" xfId="1278" applyFont="1" applyBorder="1" applyNumberFormat="1">
      <alignment horizontal="center" vertical="top"/>
    </xf>
    <xf numFmtId="49" fontId="23" fillId="3" borderId="23" xfId="1279" applyFont="1" applyFill="1" applyBorder="1" applyNumberFormat="1">
      <alignment vertical="top"/>
    </xf>
    <xf numFmtId="49" fontId="23" fillId="56" borderId="23" xfId="1280" applyFont="1" applyFill="1" applyBorder="1" applyNumberFormat="1">
      <alignment vertical="top"/>
    </xf>
    <xf numFmtId="49" fontId="23" fillId="16" borderId="32" xfId="1281" applyFont="1" applyFill="1" applyBorder="1" applyNumberFormat="1">
      <alignment vertical="top"/>
    </xf>
    <xf numFmtId="49" fontId="23" fillId="5" borderId="21" xfId="1282" applyFont="1" applyFill="1" applyBorder="1" applyNumberFormat="1">
      <alignment vertical="top"/>
    </xf>
    <xf numFmtId="49" fontId="23" fillId="5" borderId="23" xfId="1283" applyFont="1" applyFill="1" applyBorder="1" applyNumberFormat="1">
      <alignment vertical="top"/>
    </xf>
    <xf numFmtId="49" fontId="23" fillId="16" borderId="23" xfId="1284" applyFont="1" applyFill="1" applyBorder="1" applyNumberFormat="1">
      <alignment vertical="top"/>
    </xf>
    <xf numFmtId="49" fontId="23" fillId="39" borderId="0" xfId="1285" applyFont="1" applyFill="1" applyNumberFormat="1">
      <alignment vertical="top"/>
    </xf>
    <xf numFmtId="49" fontId="27" fillId="37" borderId="50" xfId="1286" applyFont="1" applyFill="1" applyBorder="1" applyNumberFormat="1">
      <alignment horizontal="center" vertical="top"/>
    </xf>
    <xf numFmtId="49" fontId="23" fillId="0" borderId="25" xfId="1287" applyFont="1" applyBorder="1" applyNumberFormat="1">
      <alignment horizontal="left" vertical="center" indent="1"/>
    </xf>
    <xf numFmtId="49" fontId="23" fillId="0" borderId="73" xfId="1288" applyFont="1" applyBorder="1" applyNumberFormat="1">
      <alignment horizontal="center" vertical="center"/>
    </xf>
    <xf numFmtId="0" fontId="23" fillId="0" borderId="0" xfId="1289" applyFont="1"/>
    <xf numFmtId="49" fontId="97" fillId="0" borderId="24" xfId="1290" applyFont="1" applyBorder="1" applyNumberFormat="1">
      <alignment vertical="top" wrapText="1"/>
    </xf>
    <xf numFmtId="0" fontId="23" fillId="0" borderId="24" xfId="1291" applyFont="1" applyBorder="1">
      <alignment vertical="top" wrapText="1"/>
    </xf>
    <xf numFmtId="0" fontId="21" fillId="0" borderId="74" xfId="1292" applyFont="1" applyBorder="1">
      <alignment vertical="top" wrapText="1"/>
    </xf>
    <xf numFmtId="0" fontId="23" fillId="0" borderId="23" xfId="1293" applyFont="1" applyBorder="1">
      <alignment vertical="top" wrapText="1"/>
    </xf>
    <xf numFmtId="49" fontId="23" fillId="0" borderId="32" xfId="1294" applyFont="1" applyBorder="1" applyNumberFormat="1">
      <alignment vertical="top"/>
    </xf>
    <xf numFmtId="0" fontId="31" fillId="0" borderId="24" xfId="1295" applyFont="1" applyBorder="1">
      <alignment vertical="center" wrapText="1"/>
    </xf>
    <xf numFmtId="0" fontId="21" fillId="0" borderId="0" xfId="1296" applyFont="1">
      <alignment vertical="top" wrapText="1"/>
    </xf>
    <xf numFmtId="0" fontId="27" fillId="0" borderId="24" xfId="1297" applyFont="1" applyBorder="1">
      <alignment vertical="center" wrapText="1"/>
    </xf>
    <xf numFmtId="0" fontId="0" fillId="0" borderId="0" xfId="0" applyFont="1" applyNumberFormat="1">
      <alignment vertical="top"/>
    </xf>
    <xf numFmtId="0"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0" fillId="0" borderId="0" xfId="28" applyFont="1" applyNumberFormat="1">
      <alignment vertical="top"/>
    </xf>
    <xf numFmtId="41" fontId="0" fillId="0" borderId="0" xfId="29" applyFont="1" applyNumberFormat="1">
      <alignment vertical="top"/>
    </xf>
    <xf numFmtId="44" fontId="0" fillId="0" borderId="0" xfId="30" applyFont="1" applyNumberFormat="1">
      <alignment vertical="top"/>
    </xf>
    <xf numFmtId="42" fontId="0"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0" fillId="32" borderId="7" xfId="41" applyFont="1" applyFill="1" applyBorder="1" applyNumberFormat="1">
      <alignment vertical="top"/>
    </xf>
    <xf numFmtId="0" fontId="15" fillId="27" borderId="8" xfId="42" applyFont="1" applyFill="1" applyBorder="1" applyNumberFormat="1">
      <alignment vertical="top"/>
    </xf>
    <xf numFmtId="9" fontId="0"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0" fontId="23" fillId="38" borderId="23" xfId="105" applyFont="1" applyFill="1" applyBorder="1" applyNumberFormat="1">
      <alignment horizontal="left" vertical="center" wrapText="1" indent="1"/>
      <protection locked="0"/>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0" fontId="39" fillId="39" borderId="0" xfId="115" applyFont="1" applyFill="1" applyNumberFormat="1">
      <alignment horizontal="center" vertical="center" wrapText="1"/>
    </xf>
    <xf numFmtId="0" fontId="23" fillId="39" borderId="22" xfId="118" applyFont="1" applyFill="1" applyBorder="1" applyNumberFormat="1">
      <alignment horizontal="right" vertical="center" wrapText="1" inden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0" fontId="27" fillId="40" borderId="23" xfId="124" applyFont="1" applyFill="1" applyBorder="1" applyNumberFormat="1">
      <alignment horizontal="left" vertical="center" wrapText="1" indent="1"/>
    </xf>
    <xf numFmtId="0" fontId="27" fillId="38" borderId="23" xfId="126" applyFont="1" applyFill="1" applyBorder="1" applyNumberFormat="1">
      <alignment horizontal="left" vertical="center" wrapText="1" indent="1"/>
    </xf>
    <xf numFmtId="0" fontId="27" fillId="0" borderId="0" xfId="128" applyFont="1" applyNumberFormat="1">
      <alignment horizontal="left" vertical="center" wrapText="1" indent="4"/>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0" fontId="27" fillId="0" borderId="31" xfId="173" applyFont="1" applyBorder="1" applyNumberFormat="1">
      <alignment vertical="center" wrapText="1"/>
    </xf>
    <xf numFmtId="0" fontId="49" fillId="0" borderId="0" xfId="174" applyFont="1" applyNumberFormat="1">
      <alignment vertical="center" wrapText="1"/>
    </xf>
    <xf numFmtId="0" fontId="50" fillId="0" borderId="0" xfId="175" applyFont="1" applyNumberFormat="1">
      <alignment horizontal="center" vertical="center" wrapText="1"/>
    </xf>
    <xf numFmtId="0" fontId="51" fillId="0" borderId="0" xfId="176" applyFont="1" applyNumberFormat="1">
      <alignment vertical="center"/>
    </xf>
    <xf numFmtId="0" fontId="23" fillId="0" borderId="0" xfId="177" applyFont="1" applyNumberFormat="1">
      <alignment vertical="center"/>
    </xf>
    <xf numFmtId="0" fontId="27" fillId="0" borderId="27" xfId="178" applyFont="1" applyBorder="1" applyNumberFormat="1">
      <alignment horizontal="left" vertical="center" wrapText="1" indent="1"/>
    </xf>
    <xf numFmtId="0" fontId="27" fillId="0" borderId="32" xfId="179" applyFont="1" applyBorder="1" applyNumberFormat="1">
      <alignment horizontal="left" vertical="center" wrapText="1" indent="1"/>
    </xf>
    <xf numFmtId="0" fontId="27" fillId="0" borderId="33" xfId="180" applyFont="1" applyBorder="1" applyNumberFormat="1">
      <alignment horizontal="left" vertical="center" wrapText="1" indent="1"/>
    </xf>
    <xf numFmtId="0" fontId="27" fillId="0" borderId="34" xfId="181" applyFont="1" applyBorder="1" applyNumberFormat="1">
      <alignment horizontal="left" vertical="center" indent="1"/>
    </xf>
    <xf numFmtId="0" fontId="27" fillId="0" borderId="30" xfId="182" applyFont="1" applyBorder="1" applyNumberFormat="1">
      <alignment horizontal="left" vertical="center" indent="1"/>
    </xf>
    <xf numFmtId="0" fontId="27" fillId="0" borderId="35" xfId="183" applyFont="1" applyBorder="1" applyNumberFormat="1">
      <alignment horizontal="left" vertical="center" indent="1"/>
    </xf>
    <xf numFmtId="0" fontId="52" fillId="0" borderId="0" xfId="184" applyFont="1" applyNumberFormat="1">
      <alignment vertical="center"/>
    </xf>
    <xf numFmtId="0" fontId="23" fillId="0" borderId="0" xfId="185" applyFont="1" applyNumberFormat="1">
      <alignment horizontal="left" vertical="center" wrapText="1" indent="2"/>
    </xf>
    <xf numFmtId="0" fontId="27" fillId="42" borderId="0" xfId="186" applyFont="1" applyFill="1" applyNumberFormat="1">
      <alignment horizontal="center" vertical="center" wrapText="1"/>
    </xf>
    <xf numFmtId="0" fontId="53" fillId="0" borderId="33" xfId="187" applyFont="1" applyBorder="1" applyNumberFormat="1">
      <alignment horizontal="center" vertical="center" wrapText="1"/>
    </xf>
    <xf numFmtId="0" fontId="53" fillId="0" borderId="26" xfId="188" applyFont="1" applyBorder="1" applyNumberFormat="1">
      <alignment horizontal="center" vertical="center" wrapText="1"/>
    </xf>
    <xf numFmtId="0" fontId="53" fillId="0" borderId="23" xfId="189" applyFont="1" applyBorder="1" applyNumberFormat="1">
      <alignment horizontal="center" vertical="center" wrapText="1"/>
    </xf>
    <xf numFmtId="0" fontId="27" fillId="0" borderId="36" xfId="190" applyFont="1" applyBorder="1" applyNumberFormat="1">
      <alignment horizontal="center" vertical="center" wrapText="1"/>
    </xf>
    <xf numFmtId="0" fontId="27" fillId="0" borderId="37" xfId="191" applyFont="1" applyBorder="1" applyNumberFormat="1">
      <alignment horizontal="center" vertical="center" wrapText="1"/>
    </xf>
    <xf numFmtId="0" fontId="37" fillId="0" borderId="28" xfId="192" applyFont="1" applyBorder="1" applyNumberFormat="1">
      <alignment vertical="center"/>
    </xf>
    <xf numFmtId="0" fontId="27" fillId="41" borderId="21" xfId="198" applyFont="1" applyFill="1" applyBorder="1" applyNumberFormat="1">
      <alignment horizontal="center" vertical="center" wrapText="1"/>
    </xf>
    <xf numFmtId="0" fontId="23" fillId="41" borderId="20" xfId="202" applyFont="1" applyFill="1" applyBorder="1" applyNumberFormat="1">
      <alignment vertical="center"/>
    </xf>
    <xf numFmtId="0" fontId="27" fillId="40" borderId="32" xfId="204" applyFont="1" applyFill="1" applyBorder="1" applyNumberFormat="1">
      <alignment horizontal="left" vertical="center" wrapText="1" indent="2"/>
    </xf>
    <xf numFmtId="0" fontId="27" fillId="0" borderId="41" xfId="207" applyFont="1" applyBorder="1" applyNumberFormat="1">
      <alignment horizontal="center" vertical="center" wrapText="1"/>
    </xf>
    <xf numFmtId="0" fontId="27" fillId="40" borderId="32" xfId="208" applyFont="1" applyFill="1" applyBorder="1" applyNumberFormat="1">
      <alignment horizontal="left" vertical="center" wrapText="1" indent="1"/>
    </xf>
    <xf numFmtId="0" fontId="27" fillId="0" borderId="0" xfId="212" applyFont="1" applyNumberFormat="1">
      <alignment vertical="center"/>
    </xf>
    <xf numFmtId="0" fontId="37" fillId="0" borderId="0" xfId="213" applyFont="1" applyNumberFormat="1">
      <alignment vertical="center"/>
    </xf>
    <xf numFmtId="0" fontId="47" fillId="0" borderId="23" xfId="215" applyFont="1" applyBorder="1" applyNumberFormat="1">
      <alignment horizontal="center" vertical="center" wrapText="1"/>
    </xf>
    <xf numFmtId="0" fontId="27" fillId="40" borderId="42" xfId="217" applyFont="1" applyFill="1" applyBorder="1" applyNumberFormat="1">
      <alignment horizontal="left" vertical="center" wrapText="1" indent="2"/>
    </xf>
    <xf numFmtId="0" fontId="27" fillId="40" borderId="30" xfId="218" applyFont="1" applyFill="1" applyBorder="1" applyNumberFormat="1">
      <alignment horizontal="left" vertical="center" wrapText="1" indent="1"/>
    </xf>
    <xf numFmtId="0" fontId="27" fillId="40" borderId="30" xfId="220" applyFont="1" applyFill="1" applyBorder="1" applyNumberFormat="1">
      <alignment horizontal="left" vertical="center" wrapText="1" indent="2"/>
    </xf>
    <xf numFmtId="0" fontId="53" fillId="42" borderId="0" xfId="224" applyFont="1" applyFill="1" applyNumberFormat="1">
      <alignment vertical="top"/>
    </xf>
    <xf numFmtId="0" fontId="27" fillId="0" borderId="27" xfId="226" applyFont="1" applyBorder="1" applyNumberFormat="1">
      <alignment horizontal="left" vertical="top" wrapText="1" indent="1"/>
    </xf>
    <xf numFmtId="0" fontId="27" fillId="0" borderId="32" xfId="227" applyFont="1" applyBorder="1" applyNumberFormat="1">
      <alignment horizontal="left" vertical="top" wrapText="1" indent="1"/>
    </xf>
    <xf numFmtId="0" fontId="27" fillId="0" borderId="33" xfId="228" applyFont="1" applyBorder="1" applyNumberFormat="1">
      <alignment horizontal="left" vertical="top" wrapText="1" indent="1"/>
    </xf>
    <xf numFmtId="0" fontId="27" fillId="0" borderId="45" xfId="229" applyFont="1" applyBorder="1" applyNumberFormat="1">
      <alignment horizontal="left" vertical="center" indent="1"/>
    </xf>
    <xf numFmtId="0" fontId="55" fillId="0" borderId="29" xfId="230" applyFont="1" applyBorder="1" applyNumberFormat="1">
      <alignment horizontal="left" vertical="center" wrapText="1" indent="1"/>
    </xf>
    <xf numFmtId="0" fontId="55" fillId="0" borderId="42" xfId="231" applyFont="1" applyBorder="1" applyNumberFormat="1">
      <alignment horizontal="left" vertical="center" wrapText="1" indent="1"/>
    </xf>
    <xf numFmtId="0" fontId="55" fillId="0" borderId="28" xfId="232" applyFont="1" applyBorder="1" applyNumberFormat="1">
      <alignment horizontal="left" vertical="center" wrapText="1" indent="1"/>
    </xf>
    <xf numFmtId="0" fontId="56" fillId="0" borderId="0" xfId="233" applyFont="1" applyNumberFormat="1">
      <alignment vertical="center"/>
    </xf>
    <xf numFmtId="0" fontId="23" fillId="0" borderId="23" xfId="234" applyFont="1" applyBorder="1" applyNumberFormat="1">
      <alignment horizontal="center" vertical="center" wrapText="1"/>
    </xf>
    <xf numFmtId="0" fontId="44" fillId="0" borderId="23" xfId="237" applyFont="1" applyBorder="1" applyNumberFormat="1">
      <alignment horizontal="center" vertical="center"/>
    </xf>
    <xf numFmtId="0" fontId="23" fillId="0" borderId="23" xfId="238" applyFont="1" applyBorder="1" applyNumberFormat="1">
      <alignment horizontal="center" vertical="center"/>
    </xf>
    <xf numFmtId="0" fontId="23" fillId="0" borderId="23" xfId="241" applyFont="1" applyBorder="1" applyNumberFormat="1">
      <alignment horizontal="center" vertical="top"/>
    </xf>
    <xf numFmtId="0" fontId="27" fillId="0" borderId="23" xfId="242" applyFont="1" applyBorder="1" applyNumberFormat="1">
      <alignment horizontal="left" vertical="top" wrapText="1"/>
    </xf>
    <xf numFmtId="0" fontId="27" fillId="40" borderId="32" xfId="243" applyFont="1" applyFill="1" applyBorder="1" applyNumberFormat="1">
      <alignment horizontal="center" vertical="top" wrapText="1"/>
    </xf>
    <xf numFmtId="0" fontId="23" fillId="0" borderId="33" xfId="244" applyFont="1" applyBorder="1" applyNumberFormat="1">
      <alignment horizontal="center" vertical="center"/>
    </xf>
    <xf numFmtId="0" fontId="23" fillId="0" borderId="26" xfId="245" applyFont="1" applyBorder="1" applyNumberFormat="1">
      <alignment horizontal="center" vertical="center"/>
    </xf>
    <xf numFmtId="0" fontId="23" fillId="0" borderId="26" xfId="248" applyFont="1" applyBorder="1" applyNumberFormat="1">
      <alignment horizontal="left" vertical="center" wrapText="1"/>
    </xf>
    <xf numFmtId="0" fontId="27" fillId="0" borderId="0" xfId="251" applyFont="1" applyNumberFormat="1">
      <alignment horizontal="left" vertical="center" indent="1"/>
    </xf>
    <xf numFmtId="0" fontId="27" fillId="40" borderId="42" xfId="252" applyFont="1" applyFill="1" applyBorder="1" applyNumberFormat="1">
      <alignment horizontal="center" vertical="top" wrapText="1"/>
    </xf>
    <xf numFmtId="0" fontId="23" fillId="0" borderId="28" xfId="253" applyFont="1" applyBorder="1" applyNumberFormat="1">
      <alignment horizontal="center" vertical="center"/>
    </xf>
    <xf numFmtId="0" fontId="48" fillId="0" borderId="29" xfId="254" applyFont="1" applyBorder="1" applyNumberFormat="1">
      <alignment horizontal="left" vertical="center"/>
    </xf>
    <xf numFmtId="0" fontId="27" fillId="40" borderId="30" xfId="256" applyFont="1" applyFill="1" applyBorder="1" applyNumberFormat="1">
      <alignment horizontal="center" vertical="top" wrapText="1"/>
    </xf>
    <xf numFmtId="0" fontId="48" fillId="0" borderId="35" xfId="257" applyFont="1" applyBorder="1" applyNumberFormat="1">
      <alignment horizontal="left" vertical="center"/>
    </xf>
    <xf numFmtId="0" fontId="48" fillId="0" borderId="45" xfId="258" applyFont="1" applyBorder="1" applyNumberFormat="1">
      <alignment horizontal="left" vertical="center"/>
    </xf>
    <xf numFmtId="0" fontId="23" fillId="0" borderId="45" xfId="259" applyFont="1" applyBorder="1" applyNumberFormat="1">
      <alignment vertical="center"/>
    </xf>
    <xf numFmtId="0" fontId="48" fillId="0" borderId="34" xfId="260" applyFont="1" applyBorder="1" applyNumberFormat="1">
      <alignment horizontal="left" vertical="center"/>
    </xf>
    <xf numFmtId="0" fontId="27" fillId="38" borderId="23" xfId="261" applyFont="1" applyFill="1" applyBorder="1" applyNumberFormat="1">
      <alignment horizontal="left" vertical="top" wrapText="1"/>
      <protection locked="0"/>
    </xf>
    <xf numFmtId="0" fontId="23" fillId="38" borderId="23" xfId="263" applyFont="1" applyFill="1" applyBorder="1" applyNumberFormat="1">
      <alignment horizontal="left" vertical="top"/>
      <protection locked="0"/>
    </xf>
    <xf numFmtId="0" fontId="23" fillId="0" borderId="32" xfId="264" applyFont="1" applyBorder="1" applyNumberFormat="1">
      <alignment horizontal="center" vertical="top"/>
    </xf>
    <xf numFmtId="0" fontId="27" fillId="0" borderId="32" xfId="265" applyFont="1" applyBorder="1" applyNumberFormat="1">
      <alignment horizontal="left" vertical="top" wrapText="1"/>
    </xf>
    <xf numFmtId="0" fontId="23" fillId="0" borderId="42" xfId="266" applyFont="1" applyBorder="1" applyNumberFormat="1">
      <alignment horizontal="center" vertical="top"/>
    </xf>
    <xf numFmtId="0" fontId="27" fillId="0" borderId="42" xfId="267" applyFont="1" applyBorder="1" applyNumberFormat="1">
      <alignment horizontal="left" vertical="top" wrapText="1"/>
    </xf>
    <xf numFmtId="0" fontId="23" fillId="0" borderId="30" xfId="268" applyFont="1" applyBorder="1" applyNumberFormat="1">
      <alignment horizontal="center" vertical="top"/>
    </xf>
    <xf numFmtId="0" fontId="27" fillId="0" borderId="30" xfId="269" applyFont="1" applyBorder="1" applyNumberFormat="1">
      <alignment horizontal="left" vertical="top" wrapText="1"/>
    </xf>
    <xf numFmtId="0" fontId="23" fillId="0" borderId="0" xfId="270" applyFont="1" applyNumberFormat="1">
      <alignment horizontal="left" vertical="top" wrapText="1"/>
    </xf>
    <xf numFmtId="0" fontId="23" fillId="0" borderId="0" xfId="271" applyFont="1" applyNumberFormat="1" quotePrefix="1">
      <alignment horizontal="left" vertical="top" wrapText="1" indent="1"/>
    </xf>
    <xf numFmtId="0" fontId="27" fillId="0" borderId="26" xfId="275" applyFont="1" applyBorder="1" applyNumberFormat="1">
      <alignment horizontal="left" vertical="center" wrapText="1" indent="1"/>
    </xf>
    <xf numFmtId="0" fontId="27" fillId="0" borderId="45" xfId="276" applyFont="1" applyBorder="1" applyNumberFormat="1">
      <alignment horizontal="left" vertical="center" wrapText="1" indent="1"/>
    </xf>
    <xf numFmtId="0" fontId="27" fillId="0" borderId="33" xfId="277" applyFont="1" applyBorder="1" applyNumberFormat="1">
      <alignment horizontal="center" vertical="center" wrapText="1"/>
    </xf>
    <xf numFmtId="0" fontId="27" fillId="0" borderId="27" xfId="278" applyFont="1" applyBorder="1" applyNumberFormat="1">
      <alignment horizontal="center" vertical="center" wrapText="1"/>
    </xf>
    <xf numFmtId="0" fontId="27" fillId="0" borderId="42" xfId="279" applyFont="1" applyBorder="1" applyNumberFormat="1">
      <alignment horizontal="center" vertical="center" wrapText="1"/>
    </xf>
    <xf numFmtId="0" fontId="27" fillId="0" borderId="32" xfId="280" applyFont="1" applyBorder="1" applyNumberFormat="1">
      <alignment horizontal="center" vertical="center" wrapText="1"/>
    </xf>
    <xf numFmtId="0" fontId="27" fillId="0" borderId="28" xfId="281" applyFont="1" applyBorder="1" applyNumberFormat="1">
      <alignment horizontal="center" vertical="center" wrapText="1"/>
    </xf>
    <xf numFmtId="0" fontId="27" fillId="0" borderId="29" xfId="282" applyFont="1" applyBorder="1" applyNumberFormat="1">
      <alignment horizontal="center" vertical="center" wrapText="1"/>
    </xf>
    <xf numFmtId="0" fontId="27" fillId="0" borderId="35" xfId="283" applyFont="1" applyBorder="1" applyNumberFormat="1">
      <alignment horizontal="center" vertical="center" wrapText="1"/>
    </xf>
    <xf numFmtId="0" fontId="27" fillId="0" borderId="34" xfId="284" applyFont="1" applyBorder="1" applyNumberFormat="1">
      <alignment horizontal="center" vertical="center" wrapText="1"/>
    </xf>
    <xf numFmtId="0" fontId="27" fillId="0" borderId="23" xfId="287" applyFont="1" applyBorder="1" applyNumberFormat="1">
      <alignment horizontal="left" vertical="center" wrapText="1"/>
    </xf>
    <xf numFmtId="0" fontId="27" fillId="0" borderId="26" xfId="290" applyFont="1" applyBorder="1" applyNumberFormat="1">
      <alignment horizontal="center" vertical="center"/>
    </xf>
    <xf numFmtId="0" fontId="27" fillId="0" borderId="26" xfId="293" applyFont="1" applyBorder="1" applyNumberFormat="1">
      <alignment horizontal="left" vertical="center" wrapText="1"/>
    </xf>
    <xf numFmtId="0" fontId="48" fillId="0" borderId="28" xfId="296" applyFont="1" applyBorder="1" applyNumberFormat="1">
      <alignment horizontal="left" vertical="center"/>
    </xf>
    <xf numFmtId="0" fontId="27" fillId="0" borderId="32" xfId="298" applyFont="1" applyBorder="1" applyNumberFormat="1">
      <alignment horizontal="left" vertical="center" wrapText="1"/>
    </xf>
    <xf numFmtId="0" fontId="27" fillId="0" borderId="33" xfId="299" applyFont="1" applyBorder="1" applyNumberFormat="1">
      <alignment horizontal="left" vertical="center" wrapText="1"/>
    </xf>
    <xf numFmtId="0" fontId="27" fillId="0" borderId="21" xfId="303" applyFont="1" applyBorder="1" applyNumberFormat="1">
      <alignment horizontal="left" vertical="center" wrapText="1"/>
    </xf>
    <xf numFmtId="0" fontId="27" fillId="39" borderId="0" xfId="304" applyFont="1" applyFill="1" applyNumberFormat="1"/>
    <xf numFmtId="0" fontId="23" fillId="39" borderId="0" xfId="305" applyFont="1" applyFill="1" applyNumberFormat="1"/>
    <xf numFmtId="0" fontId="44" fillId="39" borderId="0" xfId="306" applyFont="1" applyFill="1" applyNumberFormat="1"/>
    <xf numFmtId="0" fontId="40" fillId="39" borderId="0" xfId="307" applyFont="1" applyFill="1" applyNumberFormat="1">
      <alignment horizontal="center"/>
    </xf>
    <xf numFmtId="0" fontId="40" fillId="39" borderId="0" xfId="308" applyFont="1" applyFill="1" applyNumberFormat="1"/>
    <xf numFmtId="0" fontId="57" fillId="39" borderId="0" xfId="309" applyFont="1" applyFill="1" applyNumberFormat="1">
      <alignment horizontal="right" vertical="center"/>
    </xf>
    <xf numFmtId="0" fontId="44" fillId="39" borderId="0" xfId="310" applyFont="1" applyFill="1" applyNumberFormat="1">
      <alignment vertical="center" wrapText="1"/>
    </xf>
    <xf numFmtId="0" fontId="35" fillId="39" borderId="0" xfId="311" applyFont="1" applyFill="1" applyNumberFormat="1">
      <alignment horizontal="left" vertical="center" wrapText="1"/>
    </xf>
    <xf numFmtId="0" fontId="23" fillId="39" borderId="23" xfId="314" applyFont="1" applyFill="1" applyBorder="1" applyNumberFormat="1">
      <alignment horizontal="center" vertical="center" wrapText="1"/>
    </xf>
    <xf numFmtId="0" fontId="27" fillId="39" borderId="23" xfId="315" applyFont="1" applyFill="1" applyBorder="1" applyNumberFormat="1">
      <alignment horizontal="center" vertical="center" wrapText="1"/>
    </xf>
    <xf numFmtId="0" fontId="47" fillId="39" borderId="0" xfId="316" applyFont="1" applyFill="1" applyNumberFormat="1">
      <alignment horizontal="center" vertical="center"/>
    </xf>
    <xf numFmtId="0" fontId="44" fillId="0" borderId="23" xfId="318" applyFont="1" applyBorder="1" applyNumberFormat="1">
      <alignment vertical="center" wrapText="1"/>
    </xf>
    <xf numFmtId="0" fontId="44" fillId="0" borderId="23" xfId="319" applyFont="1" applyBorder="1" applyNumberFormat="1">
      <alignment horizontal="left" vertical="center" wrapText="1"/>
    </xf>
    <xf numFmtId="0" fontId="58" fillId="39" borderId="0" xfId="320" applyFont="1" applyFill="1" applyNumberFormat="1"/>
    <xf numFmtId="0" fontId="23" fillId="39" borderId="23" xfId="322" applyFont="1" applyFill="1" applyBorder="1" applyNumberFormat="1">
      <alignment vertical="center" wrapText="1"/>
    </xf>
    <xf numFmtId="0" fontId="27" fillId="39" borderId="23" xfId="323" applyFont="1" applyFill="1" applyBorder="1" applyNumberFormat="1">
      <alignment vertical="center" wrapText="1"/>
    </xf>
    <xf numFmtId="0" fontId="23" fillId="39" borderId="23" xfId="324" applyFont="1" applyFill="1" applyBorder="1" applyNumberFormat="1">
      <alignment horizontal="left" vertical="center" wrapText="1" indent="1"/>
    </xf>
    <xf numFmtId="0" fontId="44" fillId="0" borderId="23" xfId="326" applyFont="1" applyBorder="1" applyNumberFormat="1">
      <alignment horizontal="left" vertical="center" wrapText="1" indent="1"/>
    </xf>
    <xf numFmtId="0" fontId="27" fillId="39" borderId="29" xfId="328" applyFont="1" applyFill="1" applyBorder="1" applyNumberFormat="1">
      <alignment horizontal="center" vertical="center" wrapText="1"/>
    </xf>
    <xf numFmtId="0" fontId="23" fillId="39" borderId="23" xfId="329" applyFont="1" applyFill="1" applyBorder="1" applyNumberFormat="1">
      <alignment horizontal="center" vertical="center"/>
    </xf>
    <xf numFmtId="0" fontId="23" fillId="39" borderId="23" xfId="330" applyFont="1" applyFill="1" applyBorder="1" applyNumberFormat="1">
      <alignment horizontal="left" vertical="center" wrapText="1" indent="2"/>
    </xf>
    <xf numFmtId="0" fontId="27" fillId="39" borderId="29" xfId="333" applyFont="1" applyFill="1" applyBorder="1" applyNumberFormat="1">
      <alignment vertical="center" wrapText="1"/>
    </xf>
    <xf numFmtId="0" fontId="27" fillId="41" borderId="21" xfId="334" applyFont="1" applyFill="1" applyBorder="1" applyNumberFormat="1">
      <alignment horizontal="center"/>
    </xf>
    <xf numFmtId="0" fontId="57" fillId="41" borderId="25" xfId="335" applyFont="1" applyFill="1" applyBorder="1" applyNumberFormat="1">
      <alignment horizontal="left" vertical="center"/>
    </xf>
    <xf numFmtId="0" fontId="57" fillId="41" borderId="20" xfId="336" applyFont="1" applyFill="1" applyBorder="1" applyNumberFormat="1">
      <alignment horizontal="left" vertical="center"/>
    </xf>
    <xf numFmtId="0" fontId="44" fillId="39" borderId="23" xfId="338" applyFont="1" applyFill="1" applyBorder="1" applyNumberFormat="1">
      <alignment vertical="center" wrapText="1"/>
    </xf>
    <xf numFmtId="0" fontId="44" fillId="39" borderId="23" xfId="339" applyFont="1" applyFill="1" applyBorder="1" applyNumberFormat="1">
      <alignment horizontal="left" vertical="center" wrapText="1" indent="1"/>
    </xf>
    <xf numFmtId="0" fontId="44" fillId="39" borderId="23" xfId="340" applyFont="1" applyFill="1" applyBorder="1" applyNumberFormat="1">
      <alignment horizontal="left" vertical="center" wrapText="1" indent="2"/>
    </xf>
    <xf numFmtId="0" fontId="23" fillId="39" borderId="23" xfId="342" applyFont="1" applyFill="1" applyBorder="1" applyNumberFormat="1">
      <alignment horizontal="left" vertical="center" wrapText="1"/>
    </xf>
    <xf numFmtId="0" fontId="23" fillId="39" borderId="32" xfId="344" applyFont="1" applyFill="1" applyBorder="1" applyNumberFormat="1">
      <alignment horizontal="left" vertical="center" wrapText="1"/>
    </xf>
    <xf numFmtId="0" fontId="27" fillId="39" borderId="32" xfId="345" applyFont="1" applyFill="1" applyBorder="1" applyNumberFormat="1">
      <alignment horizontal="left" vertical="top" wrapText="1"/>
    </xf>
    <xf numFmtId="0" fontId="27" fillId="39" borderId="42" xfId="347" applyFont="1" applyFill="1" applyBorder="1" applyNumberFormat="1">
      <alignment horizontal="left" vertical="top" wrapText="1"/>
    </xf>
    <xf numFmtId="0" fontId="50" fillId="39" borderId="0" xfId="348" applyFont="1" applyFill="1" applyNumberFormat="1">
      <alignment horizontal="center" vertical="center" wrapText="1"/>
    </xf>
    <xf numFmtId="0" fontId="27" fillId="39" borderId="30" xfId="351" applyFont="1" applyFill="1" applyBorder="1" applyNumberFormat="1">
      <alignment horizontal="left" vertical="top" wrapText="1"/>
    </xf>
    <xf numFmtId="0" fontId="59" fillId="39" borderId="0" xfId="352" applyFont="1" applyFill="1" applyNumberFormat="1"/>
    <xf numFmtId="0" fontId="23" fillId="39" borderId="21" xfId="356" applyFont="1" applyFill="1" applyBorder="1" applyNumberFormat="1">
      <alignment horizontal="left" vertical="center" wrapText="1" indent="1"/>
    </xf>
    <xf numFmtId="0" fontId="23" fillId="39" borderId="23" xfId="358" applyFont="1" applyFill="1" applyBorder="1" applyNumberFormat="1">
      <alignment vertical="top" wrapText="1"/>
    </xf>
    <xf numFmtId="0" fontId="23" fillId="39" borderId="21" xfId="359" applyFont="1" applyFill="1" applyBorder="1" applyNumberFormat="1">
      <alignment horizontal="left" vertical="center" wrapText="1"/>
    </xf>
    <xf numFmtId="0" fontId="23" fillId="39" borderId="30" xfId="360" applyFont="1" applyFill="1" applyBorder="1" applyNumberFormat="1">
      <alignment vertical="center" wrapText="1"/>
    </xf>
    <xf numFmtId="0" fontId="49" fillId="0" borderId="0" xfId="361" applyFont="1" applyNumberFormat="1">
      <alignment horizontal="left" vertical="top" wrapText="1" indent="1"/>
    </xf>
    <xf numFmtId="0" fontId="60" fillId="39" borderId="0" xfId="362" applyFont="1" applyFill="1" applyNumberFormat="1"/>
    <xf numFmtId="0" fontId="53" fillId="39" borderId="0" xfId="363" applyFont="1" applyFill="1" applyNumberFormat="1">
      <alignment horizontal="center"/>
    </xf>
    <xf numFmtId="0" fontId="53" fillId="39" borderId="0" xfId="364" applyFont="1" applyFill="1" applyNumberFormat="1"/>
    <xf numFmtId="0" fontId="61" fillId="39" borderId="0" xfId="365" applyFont="1" applyFill="1" applyNumberFormat="1">
      <alignment horizontal="right" vertical="center"/>
    </xf>
    <xf numFmtId="0" fontId="62" fillId="39" borderId="0" xfId="366" applyFont="1" applyFill="1" applyNumberFormat="1">
      <alignment vertical="center"/>
    </xf>
    <xf numFmtId="0" fontId="61" fillId="39" borderId="0" xfId="367" applyFont="1" applyFill="1" applyNumberFormat="1">
      <alignment horizontal="right" vertical="top"/>
    </xf>
    <xf numFmtId="0" fontId="62" fillId="39" borderId="0" xfId="368" applyFont="1" applyFill="1" applyNumberFormat="1">
      <alignment vertical="center" wrapText="1"/>
    </xf>
    <xf numFmtId="0" fontId="23" fillId="39" borderId="0" xfId="369" applyFont="1" applyFill="1" applyNumberFormat="1">
      <alignment horizontal="center"/>
    </xf>
    <xf numFmtId="0" fontId="37" fillId="0" borderId="0" xfId="370" applyFont="1" applyNumberFormat="1">
      <alignment horizontal="center" vertical="center" wrapText="1"/>
    </xf>
    <xf numFmtId="0" fontId="63" fillId="39" borderId="0" xfId="371" applyFont="1" applyFill="1" applyNumberFormat="1">
      <alignment horizontal="center" vertical="center" wrapText="1"/>
    </xf>
    <xf numFmtId="0" fontId="63" fillId="39" borderId="0" xfId="372" applyFont="1" applyFill="1" applyNumberFormat="1">
      <alignment horizontal="right" vertical="center" wrapText="1"/>
    </xf>
    <xf numFmtId="0" fontId="63" fillId="0" borderId="0" xfId="373" applyFont="1" applyNumberFormat="1">
      <alignment vertical="center" wrapText="1"/>
    </xf>
    <xf numFmtId="0" fontId="27" fillId="0" borderId="34" xfId="374" applyFont="1" applyBorder="1" applyNumberFormat="1">
      <alignment horizontal="left" vertical="center" wrapText="1" indent="1"/>
    </xf>
    <xf numFmtId="0" fontId="27" fillId="0" borderId="30" xfId="375" applyFont="1" applyBorder="1" applyNumberFormat="1">
      <alignment horizontal="left" vertical="center" wrapText="1" indent="1"/>
    </xf>
    <xf numFmtId="0" fontId="27" fillId="0" borderId="35" xfId="376" applyFont="1" applyBorder="1" applyNumberFormat="1">
      <alignment horizontal="left" vertical="center" wrapText="1" indent="1"/>
    </xf>
    <xf numFmtId="0" fontId="64" fillId="39" borderId="0" xfId="377" applyFont="1" applyFill="1" applyNumberFormat="1">
      <alignment horizontal="center" vertical="center" wrapText="1"/>
    </xf>
    <xf numFmtId="0" fontId="23" fillId="0" borderId="21" xfId="378" applyFont="1" applyBorder="1" applyNumberFormat="1">
      <alignment horizontal="center" vertical="center" wrapText="1"/>
    </xf>
    <xf numFmtId="0" fontId="23" fillId="0" borderId="25" xfId="379" applyFont="1" applyBorder="1" applyNumberFormat="1">
      <alignment horizontal="center" vertical="center" wrapText="1"/>
    </xf>
    <xf numFmtId="0" fontId="23" fillId="0" borderId="20" xfId="380" applyFont="1" applyBorder="1" applyNumberFormat="1">
      <alignment horizontal="center" vertical="center" wrapText="1"/>
    </xf>
    <xf numFmtId="0" fontId="23" fillId="0" borderId="32" xfId="381" applyFont="1" applyBorder="1" applyNumberFormat="1">
      <alignment horizontal="center" vertical="center" wrapText="1"/>
    </xf>
    <xf numFmtId="0" fontId="23" fillId="0" borderId="33" xfId="382" applyFont="1" applyBorder="1" applyNumberFormat="1">
      <alignment horizontal="center" vertical="center" wrapText="1"/>
    </xf>
    <xf numFmtId="0" fontId="23" fillId="0" borderId="27" xfId="383" applyFont="1" applyBorder="1" applyNumberFormat="1">
      <alignment horizontal="center" vertical="center" wrapText="1"/>
    </xf>
    <xf numFmtId="0" fontId="23" fillId="0" borderId="30" xfId="384" applyFont="1" applyBorder="1" applyNumberFormat="1">
      <alignment horizontal="center" vertical="center" wrapText="1"/>
    </xf>
    <xf numFmtId="0" fontId="23" fillId="0" borderId="35" xfId="385" applyFont="1" applyBorder="1" applyNumberFormat="1">
      <alignment horizontal="center" vertical="center" wrapText="1"/>
    </xf>
    <xf numFmtId="0" fontId="23" fillId="0" borderId="34" xfId="386" applyFont="1" applyBorder="1" applyNumberFormat="1">
      <alignment horizontal="center" vertical="center" wrapText="1"/>
    </xf>
    <xf numFmtId="0" fontId="47" fillId="39" borderId="0" xfId="387" applyFont="1" applyFill="1" applyNumberFormat="1">
      <alignment horizontal="center" vertical="center" wrapText="1"/>
    </xf>
    <xf numFmtId="0" fontId="65" fillId="39" borderId="0" xfId="389" applyFont="1" applyFill="1" applyNumberFormat="1">
      <alignment horizontal="center" vertical="center" wrapText="1"/>
    </xf>
    <xf numFmtId="0" fontId="55" fillId="0" borderId="0" xfId="393" applyFont="1" applyNumberFormat="1">
      <alignment vertical="center" wrapText="1"/>
    </xf>
    <xf numFmtId="0" fontId="27" fillId="40" borderId="21" xfId="395" applyFont="1" applyFill="1" applyBorder="1" applyNumberFormat="1">
      <alignment horizontal="left" vertical="center" wrapText="1"/>
    </xf>
    <xf numFmtId="0" fontId="23" fillId="35" borderId="23" xfId="400" applyFont="1" applyFill="1" applyBorder="1" applyNumberFormat="1">
      <alignment horizontal="right" vertical="center" wrapText="1"/>
      <protection locked="0"/>
    </xf>
    <xf numFmtId="0" fontId="23" fillId="0" borderId="32" xfId="402" applyFont="1" applyBorder="1" applyNumberFormat="1">
      <alignment horizontal="left" vertical="top" wrapText="1"/>
    </xf>
    <xf numFmtId="0" fontId="48" fillId="41" borderId="25" xfId="404" applyFont="1" applyFill="1" applyBorder="1" applyNumberFormat="1">
      <alignment vertical="center"/>
    </xf>
    <xf numFmtId="0" fontId="23" fillId="0" borderId="30" xfId="408" applyFont="1" applyBorder="1" applyNumberFormat="1">
      <alignment horizontal="left" vertical="top" wrapText="1"/>
    </xf>
    <xf numFmtId="0" fontId="27" fillId="40" borderId="26" xfId="410" applyFont="1" applyFill="1" applyBorder="1" applyNumberFormat="1">
      <alignment horizontal="left" vertical="center" wrapText="1"/>
    </xf>
    <xf numFmtId="0" fontId="50" fillId="39" borderId="23" xfId="411" applyFont="1" applyFill="1" applyBorder="1" applyNumberFormat="1">
      <alignment horizontal="center" vertical="center" wrapText="1"/>
    </xf>
    <xf numFmtId="0" fontId="27" fillId="40" borderId="45" xfId="415" applyFont="1" applyFill="1" applyBorder="1" applyNumberFormat="1">
      <alignment horizontal="left" vertical="center" wrapText="1"/>
    </xf>
    <xf numFmtId="0" fontId="27" fillId="0" borderId="26" xfId="416" applyFont="1" applyBorder="1" applyNumberFormat="1">
      <alignment horizontal="left" vertical="top" wrapText="1" indent="1"/>
    </xf>
    <xf numFmtId="0" fontId="29" fillId="39" borderId="0" xfId="417" applyFont="1" applyFill="1" applyNumberFormat="1">
      <alignment horizontal="right" vertical="center"/>
    </xf>
    <xf numFmtId="0" fontId="29" fillId="39" borderId="0" xfId="418" applyFont="1" applyFill="1" applyNumberFormat="1">
      <alignment horizontal="right" vertical="center" wrapText="1"/>
    </xf>
    <xf numFmtId="0" fontId="50" fillId="39" borderId="29" xfId="421" applyFont="1" applyFill="1" applyBorder="1" applyNumberFormat="1">
      <alignment vertical="top" wrapText="1"/>
    </xf>
    <xf numFmtId="0" fontId="23" fillId="0" borderId="42" xfId="425" applyFont="1" applyBorder="1" applyNumberFormat="1">
      <alignment horizontal="left" vertical="top" wrapText="1"/>
    </xf>
    <xf numFmtId="0" fontId="50" fillId="39" borderId="0" xfId="426" applyFont="1" applyFill="1" applyNumberFormat="1">
      <alignment vertical="top" wrapText="1"/>
    </xf>
    <xf numFmtId="0" fontId="44" fillId="39" borderId="30" xfId="427" applyFont="1" applyFill="1" applyBorder="1" applyNumberFormat="1">
      <alignment horizontal="center" vertical="center" wrapText="1"/>
    </xf>
    <xf numFmtId="0" fontId="44" fillId="0" borderId="0" xfId="431" applyFont="1" applyNumberFormat="1">
      <alignment horizontal="left" vertical="center" wrapText="1"/>
    </xf>
    <xf numFmtId="0" fontId="49" fillId="0" borderId="0" xfId="436" applyFont="1" applyNumberFormat="1">
      <alignment vertical="top"/>
    </xf>
    <xf numFmtId="0" fontId="33" fillId="0" borderId="23" xfId="441" applyFont="1" applyBorder="1" applyNumberFormat="1">
      <alignment vertical="top" wrapText="1"/>
    </xf>
    <xf numFmtId="0" fontId="66" fillId="0" borderId="23" xfId="444" applyFont="1" applyBorder="1" applyNumberFormat="1">
      <alignment vertical="top" wrapText="1"/>
    </xf>
    <xf numFmtId="0" fontId="33" fillId="43" borderId="23" xfId="449" applyFont="1" applyFill="1" applyBorder="1" applyNumberFormat="1">
      <alignment horizontal="center" vertical="top" wrapText="1"/>
    </xf>
    <xf numFmtId="0" fontId="66" fillId="43" borderId="23" xfId="450" applyFont="1" applyFill="1" applyBorder="1" applyNumberFormat="1">
      <alignment horizontal="right" vertical="center" wrapText="1"/>
    </xf>
    <xf numFmtId="0" fontId="66" fillId="0" borderId="23" xfId="454" applyFont="1" applyBorder="1" applyNumberFormat="1">
      <alignment horizontal="left" vertical="top" wrapText="1"/>
    </xf>
    <xf numFmtId="0" fontId="66" fillId="43" borderId="23" xfId="456" applyFont="1" applyFill="1" applyBorder="1" applyNumberFormat="1">
      <alignment horizontal="center" vertical="center" wrapText="1"/>
    </xf>
    <xf numFmtId="0" fontId="66" fillId="0" borderId="32" xfId="459" applyFont="1" applyBorder="1" applyNumberFormat="1">
      <alignment horizontal="left" vertical="top" wrapText="1"/>
    </xf>
    <xf numFmtId="0" fontId="66" fillId="0" borderId="20" xfId="461" applyFont="1" applyBorder="1" applyNumberFormat="1">
      <alignment horizontal="left" vertical="top" wrapText="1"/>
    </xf>
    <xf numFmtId="0" fontId="66" fillId="0" borderId="32" xfId="465" applyFont="1" applyBorder="1" applyNumberFormat="1">
      <alignment vertical="top" wrapText="1"/>
    </xf>
    <xf numFmtId="0" fontId="33" fillId="0" borderId="21" xfId="467" applyFont="1" applyBorder="1" applyNumberFormat="1">
      <alignment horizontal="center" vertical="center" wrapText="1"/>
    </xf>
    <xf numFmtId="0" fontId="33" fillId="0" borderId="21" xfId="468" applyFont="1" applyBorder="1" applyNumberFormat="1">
      <alignment horizontal="center" vertical="center"/>
    </xf>
    <xf numFmtId="0" fontId="33" fillId="0" borderId="23" xfId="470" applyFont="1" applyBorder="1" applyNumberFormat="1">
      <alignment vertical="center" wrapText="1"/>
    </xf>
    <xf numFmtId="0" fontId="33" fillId="0" borderId="23" xfId="472" applyFont="1" applyBorder="1" applyNumberFormat="1">
      <alignment horizontal="center" vertical="center" wrapText="1"/>
    </xf>
    <xf numFmtId="0" fontId="33" fillId="0" borderId="32" xfId="473" applyFont="1" applyBorder="1" applyNumberFormat="1">
      <alignment vertical="center" wrapText="1"/>
    </xf>
    <xf numFmtId="0" fontId="33" fillId="0" borderId="30" xfId="474" applyFont="1" applyBorder="1" applyNumberFormat="1">
      <alignment vertical="center" wrapText="1"/>
    </xf>
    <xf numFmtId="0" fontId="33" fillId="0" borderId="32" xfId="479" applyFont="1" applyBorder="1" applyNumberFormat="1">
      <alignment horizontal="center" vertical="center" wrapText="1"/>
    </xf>
    <xf numFmtId="0" fontId="66" fillId="0" borderId="42" xfId="481" applyFont="1" applyBorder="1" applyNumberFormat="1">
      <alignment horizontal="left" vertical="top" wrapText="1"/>
    </xf>
    <xf numFmtId="0" fontId="23" fillId="45" borderId="23" xfId="485" applyFont="1" applyFill="1" applyBorder="1" applyNumberFormat="1">
      <alignment horizontal="center" vertical="center"/>
    </xf>
    <xf numFmtId="0" fontId="27" fillId="0" borderId="23" xfId="489" applyFont="1" applyBorder="1" applyNumberFormat="1">
      <alignment vertical="center"/>
    </xf>
    <xf numFmtId="0" fontId="23" fillId="0" borderId="23" xfId="490" applyFont="1" applyBorder="1" applyNumberFormat="1">
      <alignment vertical="center"/>
    </xf>
    <xf numFmtId="0" fontId="23" fillId="0" borderId="21" xfId="491" applyFont="1" applyBorder="1" applyNumberFormat="1">
      <alignment vertical="center"/>
    </xf>
    <xf numFmtId="0" fontId="27" fillId="0" borderId="21" xfId="492" applyFont="1" applyBorder="1" applyNumberFormat="1">
      <alignment horizontal="left" vertical="center"/>
    </xf>
    <xf numFmtId="0" fontId="23" fillId="0" borderId="20" xfId="496" applyFont="1" applyBorder="1" applyNumberFormat="1">
      <alignment vertical="center"/>
    </xf>
    <xf numFmtId="0" fontId="23" fillId="0" borderId="23" xfId="497" applyFont="1" applyBorder="1" applyNumberFormat="1">
      <alignment horizontal="right" vertical="top"/>
    </xf>
    <xf numFmtId="0" fontId="23" fillId="0" borderId="23" xfId="498" applyFont="1" applyBorder="1" applyNumberFormat="1">
      <alignment vertical="top"/>
    </xf>
    <xf numFmtId="0" fontId="27" fillId="0" borderId="20" xfId="499" applyFont="1" applyBorder="1" applyNumberFormat="1">
      <alignment vertical="center"/>
    </xf>
    <xf numFmtId="0" fontId="23" fillId="0" borderId="0" xfId="501" applyFont="1" applyNumberFormat="1">
      <alignment vertical="top"/>
    </xf>
    <xf numFmtId="0" fontId="27" fillId="0" borderId="23" xfId="502" applyFont="1" applyBorder="1" applyNumberFormat="1">
      <alignment vertical="top"/>
    </xf>
    <xf numFmtId="0" fontId="23" fillId="48" borderId="0" xfId="503" applyFont="1" applyFill="1" applyNumberFormat="1">
      <alignment horizontal="right" vertical="center"/>
    </xf>
    <xf numFmtId="0" fontId="23" fillId="48" borderId="0" xfId="504" applyFont="1" applyFill="1" applyNumberFormat="1">
      <alignment horizontal="left" vertical="center"/>
    </xf>
    <xf numFmtId="0" fontId="23" fillId="0" borderId="0" xfId="505" applyFont="1" applyNumberFormat="1">
      <alignment horizontal="right" vertical="top"/>
    </xf>
    <xf numFmtId="0" fontId="67" fillId="48" borderId="0" xfId="507" applyFont="1" applyFill="1" applyNumberFormat="1">
      <alignment horizontal="left" vertical="center"/>
    </xf>
    <xf numFmtId="0" fontId="23" fillId="0" borderId="21" xfId="510" applyFont="1" applyBorder="1" applyNumberFormat="1">
      <alignment horizontal="left" vertical="center"/>
    </xf>
    <xf numFmtId="0" fontId="23" fillId="0" borderId="32" xfId="512" applyFont="1" applyBorder="1" applyNumberFormat="1">
      <alignment vertical="top"/>
    </xf>
    <xf numFmtId="0" fontId="27" fillId="0" borderId="32" xfId="513" applyFont="1" applyBorder="1" applyNumberFormat="1">
      <alignment vertical="center"/>
    </xf>
    <xf numFmtId="0" fontId="27" fillId="48" borderId="0" xfId="517" applyFont="1" applyFill="1" applyNumberFormat="1">
      <alignment horizontal="left" vertical="center"/>
    </xf>
    <xf numFmtId="0" fontId="23" fillId="48" borderId="50" xfId="518" applyFont="1" applyFill="1" applyBorder="1" applyNumberFormat="1">
      <alignment horizontal="center"/>
    </xf>
    <xf numFmtId="0" fontId="23" fillId="0" borderId="50" xfId="521" applyFont="1" applyBorder="1" applyNumberFormat="1">
      <alignment horizontal="center"/>
    </xf>
    <xf numFmtId="0" fontId="47" fillId="0" borderId="0" xfId="524" applyFont="1" applyNumberFormat="1">
      <alignment horizontal="center" vertical="center" wrapText="1"/>
    </xf>
    <xf numFmtId="0" fontId="23" fillId="37" borderId="49" xfId="527" applyFont="1" applyFill="1" applyBorder="1" applyNumberFormat="1">
      <alignment horizontal="center" vertical="center"/>
    </xf>
    <xf numFmtId="0" fontId="20" fillId="0" borderId="51" xfId="529" applyFont="1" applyBorder="1" applyNumberFormat="1">
      <alignment horizontal="center" vertical="center"/>
    </xf>
    <xf numFmtId="0" fontId="23" fillId="0" borderId="51" xfId="530" applyFont="1" applyBorder="1" applyNumberFormat="1">
      <alignment horizontal="center" vertical="center"/>
    </xf>
    <xf numFmtId="0" fontId="23" fillId="43" borderId="23" xfId="533" applyFont="1" applyFill="1" applyBorder="1" applyNumberFormat="1">
      <alignment horizontal="right" vertical="center"/>
    </xf>
    <xf numFmtId="0" fontId="27" fillId="0" borderId="0" xfId="536" applyFont="1" applyNumberFormat="1">
      <alignment vertical="top"/>
    </xf>
    <xf numFmtId="0" fontId="27" fillId="37" borderId="35" xfId="539" applyFont="1" applyFill="1" applyBorder="1" applyNumberFormat="1">
      <alignment horizontal="center" vertical="top"/>
    </xf>
    <xf numFmtId="0" fontId="27" fillId="37" borderId="35" xfId="540" applyFont="1" applyFill="1" applyBorder="1" applyNumberFormat="1">
      <alignment horizontal="left" vertical="top"/>
    </xf>
    <xf numFmtId="0" fontId="23" fillId="0" borderId="52" xfId="541" applyFont="1" applyBorder="1" applyNumberFormat="1">
      <alignment horizontal="center" vertical="center"/>
    </xf>
    <xf numFmtId="0" fontId="23" fillId="0" borderId="53" xfId="542" applyFont="1" applyBorder="1" applyNumberFormat="1">
      <alignment horizontal="center" vertical="center"/>
    </xf>
    <xf numFmtId="0" fontId="27" fillId="0" borderId="23" xfId="543" applyFont="1" applyBorder="1" applyNumberFormat="1">
      <alignment horizontal="left" vertical="top"/>
    </xf>
    <xf numFmtId="0" fontId="23" fillId="0" borderId="54" xfId="544" applyFont="1" applyBorder="1" applyNumberFormat="1">
      <alignment horizontal="center" vertical="center"/>
    </xf>
    <xf numFmtId="0" fontId="23" fillId="48" borderId="0" xfId="547" applyFont="1" applyFill="1" applyNumberFormat="1">
      <alignment horizontal="right" vertical="top" wrapText="1"/>
    </xf>
    <xf numFmtId="0" fontId="27" fillId="0" borderId="0" xfId="548" applyFont="1" applyNumberFormat="1">
      <alignment horizontal="left" vertical="top" wrapText="1"/>
    </xf>
    <xf numFmtId="0" fontId="27" fillId="39" borderId="23" xfId="550" applyFont="1" applyFill="1" applyBorder="1" applyNumberFormat="1">
      <alignment horizontal="center" vertical="center"/>
    </xf>
    <xf numFmtId="0" fontId="50" fillId="39" borderId="0" xfId="551" applyFont="1" applyFill="1" applyNumberFormat="1">
      <alignment horizontal="center"/>
    </xf>
    <xf numFmtId="0" fontId="47" fillId="0" borderId="0" xfId="552" applyFont="1" applyNumberFormat="1">
      <alignment vertical="top" wrapText="1"/>
    </xf>
    <xf numFmtId="0" fontId="37" fillId="0" borderId="30" xfId="553" applyFont="1" applyBorder="1" applyNumberFormat="1">
      <alignment horizontal="center" vertical="center" wrapText="1"/>
    </xf>
    <xf numFmtId="0" fontId="37" fillId="0" borderId="23" xfId="554" applyFont="1" applyBorder="1" applyNumberFormat="1">
      <alignment horizontal="center" vertical="center" wrapText="1"/>
    </xf>
    <xf numFmtId="0" fontId="47" fillId="0" borderId="29" xfId="558" applyFont="1" applyBorder="1" applyNumberFormat="1">
      <alignment horizontal="center" vertical="center" wrapText="1"/>
    </xf>
    <xf numFmtId="0" fontId="53" fillId="0" borderId="23" xfId="560" applyFont="1" applyBorder="1" applyNumberFormat="1">
      <alignment horizontal="left" vertical="center" wrapText="1" indent="1"/>
    </xf>
    <xf numFmtId="0" fontId="54" fillId="0" borderId="32" xfId="561" applyFont="1" applyBorder="1" applyNumberFormat="1">
      <alignment horizontal="center" vertical="center" wrapText="1"/>
    </xf>
    <xf numFmtId="0" fontId="53" fillId="0" borderId="23" xfId="564" applyFont="1" applyBorder="1" applyNumberFormat="1">
      <alignment horizontal="left" vertical="top" indent="1"/>
    </xf>
    <xf numFmtId="0" fontId="27" fillId="39" borderId="0" xfId="565" applyFont="1" applyFill="1" applyNumberFormat="1">
      <alignment horizontal="center" vertical="top" wrapText="1"/>
    </xf>
    <xf numFmtId="0" fontId="27" fillId="39" borderId="21" xfId="566" applyFont="1" applyFill="1" applyBorder="1" applyNumberFormat="1">
      <alignment horizontal="center" vertical="center" wrapText="1"/>
    </xf>
    <xf numFmtId="0" fontId="44" fillId="39" borderId="23" xfId="567" applyFont="1" applyFill="1" applyBorder="1" applyNumberFormat="1">
      <alignment horizontal="center" vertical="center" wrapText="1"/>
    </xf>
    <xf numFmtId="0" fontId="70" fillId="39" borderId="0" xfId="573" applyFont="1" applyFill="1" applyNumberFormat="1">
      <alignment vertical="center" wrapText="1"/>
    </xf>
    <xf numFmtId="0" fontId="23" fillId="38" borderId="21" xfId="574" applyFont="1" applyFill="1" applyBorder="1" applyNumberFormat="1">
      <alignment horizontal="left" vertical="center" wrapText="1" indent="2"/>
      <protection locked="0"/>
    </xf>
    <xf numFmtId="0" fontId="50" fillId="0" borderId="29" xfId="575" applyFont="1" applyBorder="1" applyNumberFormat="1">
      <alignment horizontal="center" vertical="center" wrapText="1"/>
    </xf>
    <xf numFmtId="0" fontId="23" fillId="37" borderId="23" xfId="577" applyFont="1" applyFill="1" applyBorder="1" applyNumberFormat="1">
      <alignment horizontal="left" vertical="top" wrapText="1" indent="1"/>
    </xf>
    <xf numFmtId="0" fontId="27" fillId="37" borderId="23" xfId="584" applyFont="1" applyFill="1" applyBorder="1" applyNumberFormat="1">
      <alignment horizontal="center" vertical="top" wrapText="1"/>
    </xf>
    <xf numFmtId="0" fontId="27" fillId="35" borderId="23" xfId="585" applyFont="1" applyFill="1" applyBorder="1" applyNumberFormat="1">
      <alignment horizontal="left" vertical="top" wrapText="1"/>
      <protection locked="0"/>
    </xf>
    <xf numFmtId="0" fontId="27" fillId="0" borderId="29" xfId="588" applyFont="1" applyBorder="1" applyNumberFormat="1">
      <alignment vertical="top" wrapText="1"/>
    </xf>
    <xf numFmtId="0" fontId="27" fillId="41" borderId="21" xfId="593" applyFont="1" applyFill="1" applyBorder="1" applyNumberFormat="1">
      <alignment vertical="center" wrapText="1"/>
    </xf>
    <xf numFmtId="0" fontId="27" fillId="41" borderId="25" xfId="594" applyFont="1" applyFill="1" applyBorder="1" applyNumberFormat="1">
      <alignment vertical="center" wrapText="1"/>
    </xf>
    <xf numFmtId="0" fontId="23" fillId="37" borderId="42" xfId="596" applyFont="1" applyFill="1" applyBorder="1" applyNumberFormat="1">
      <alignment horizontal="left" vertical="top" wrapText="1" indent="1"/>
    </xf>
    <xf numFmtId="0" fontId="27" fillId="37" borderId="42" xfId="603" applyFont="1" applyFill="1" applyBorder="1" applyNumberFormat="1">
      <alignment horizontal="center" vertical="top" wrapText="1"/>
    </xf>
    <xf numFmtId="0" fontId="27" fillId="35" borderId="42" xfId="604" applyFont="1" applyFill="1" applyBorder="1" applyNumberFormat="1">
      <alignment horizontal="left" vertical="top" wrapText="1"/>
      <protection locked="0"/>
    </xf>
    <xf numFmtId="0" fontId="71" fillId="0" borderId="55" xfId="605" applyFont="1" applyBorder="1" applyNumberFormat="1">
      <alignment horizontal="left" vertical="center" indent="1"/>
    </xf>
    <xf numFmtId="0" fontId="71" fillId="0" borderId="56" xfId="606" applyFont="1" applyBorder="1" applyNumberFormat="1">
      <alignment horizontal="left" vertical="center" indent="1"/>
    </xf>
    <xf numFmtId="0" fontId="23" fillId="0" borderId="56" xfId="607" applyFont="1" applyBorder="1" applyNumberFormat="1">
      <alignment horizontal="left" vertical="center" wrapText="1"/>
    </xf>
    <xf numFmtId="0" fontId="27" fillId="0" borderId="56" xfId="608" applyFont="1" applyBorder="1" applyNumberFormat="1">
      <alignment vertical="center" wrapText="1"/>
    </xf>
    <xf numFmtId="0" fontId="27" fillId="0" borderId="57" xfId="609" applyFont="1" applyBorder="1" applyNumberFormat="1">
      <alignment vertical="center" wrapText="1"/>
    </xf>
    <xf numFmtId="0" fontId="27" fillId="0" borderId="58" xfId="610" applyFont="1" applyBorder="1" applyNumberFormat="1">
      <alignment vertical="center" wrapText="1"/>
    </xf>
    <xf numFmtId="0" fontId="27" fillId="0" borderId="28" xfId="611" applyFont="1" applyBorder="1" applyNumberFormat="1">
      <alignment vertical="center" wrapText="1"/>
    </xf>
    <xf numFmtId="0" fontId="72" fillId="0" borderId="23" xfId="620" applyFont="1" applyBorder="1" applyNumberFormat="1">
      <alignment horizontal="center" vertical="center"/>
    </xf>
    <xf numFmtId="0" fontId="72" fillId="0" borderId="23" xfId="627" applyFont="1" applyBorder="1" applyNumberFormat="1">
      <alignment horizontal="left" vertical="center" wrapText="1" indent="1"/>
    </xf>
    <xf numFmtId="0" fontId="23" fillId="41" borderId="61" xfId="634" applyFont="1" applyFill="1" applyBorder="1" applyNumberFormat="1">
      <alignment horizontal="left" vertical="center"/>
    </xf>
    <xf numFmtId="0" fontId="27" fillId="41" borderId="61" xfId="636" applyFont="1" applyFill="1" applyBorder="1" applyNumberFormat="1">
      <alignment vertical="center" wrapText="1"/>
    </xf>
    <xf numFmtId="0" fontId="27" fillId="41" borderId="62" xfId="637" applyFont="1" applyFill="1" applyBorder="1" applyNumberFormat="1">
      <alignment vertical="center" wrapText="1"/>
    </xf>
    <xf numFmtId="0" fontId="49" fillId="0" borderId="23" xfId="643" applyFont="1" applyBorder="1" applyNumberFormat="1">
      <alignment horizontal="center" vertical="center"/>
    </xf>
    <xf numFmtId="0" fontId="49" fillId="40" borderId="23" xfId="654" applyFont="1" applyFill="1" applyBorder="1" applyNumberFormat="1">
      <alignment horizontal="left" vertical="center" wrapText="1" indent="1"/>
    </xf>
    <xf numFmtId="0" fontId="49" fillId="0" borderId="20" xfId="661" applyFont="1" applyBorder="1" applyNumberFormat="1">
      <alignment horizontal="center" vertical="center"/>
    </xf>
    <xf numFmtId="0" fontId="71" fillId="0" borderId="63" xfId="672" applyFont="1" applyBorder="1" applyNumberFormat="1">
      <alignment horizontal="left" vertical="center" indent="1"/>
    </xf>
    <xf numFmtId="0" fontId="27" fillId="0" borderId="64" xfId="674" applyFont="1" applyBorder="1" applyNumberFormat="1">
      <alignment horizontal="right" vertical="center"/>
    </xf>
    <xf numFmtId="0" fontId="27" fillId="0" borderId="64" xfId="675" applyFont="1" applyBorder="1" applyNumberFormat="1">
      <alignment horizontal="center" vertical="center"/>
    </xf>
    <xf numFmtId="0" fontId="27" fillId="0" borderId="25" xfId="676" applyFont="1" applyBorder="1" applyNumberFormat="1">
      <alignment horizontal="right" vertical="center"/>
    </xf>
    <xf numFmtId="0" fontId="27" fillId="0" borderId="20" xfId="677" applyFont="1" applyBorder="1" applyNumberFormat="1">
      <alignment horizontal="right" vertical="center"/>
    </xf>
    <xf numFmtId="0" fontId="27" fillId="0" borderId="23" xfId="678" applyFont="1" applyBorder="1" applyNumberFormat="1">
      <alignment horizontal="right" vertical="center"/>
    </xf>
    <xf numFmtId="0" fontId="27" fillId="43" borderId="23" xfId="680" applyFont="1" applyFill="1" applyBorder="1" applyNumberFormat="1">
      <alignment horizontal="right" vertical="center"/>
    </xf>
    <xf numFmtId="0" fontId="23" fillId="0" borderId="21" xfId="684" applyFont="1" applyBorder="1" applyNumberFormat="1">
      <alignment horizontal="right" vertical="center" wrapText="1" indent="1"/>
    </xf>
    <xf numFmtId="0" fontId="23" fillId="0" borderId="25" xfId="685" applyFont="1" applyBorder="1" applyNumberFormat="1">
      <alignment horizontal="right" vertical="center" wrapText="1" indent="1"/>
    </xf>
    <xf numFmtId="0" fontId="23" fillId="0" borderId="20" xfId="686" applyFont="1" applyBorder="1" applyNumberFormat="1">
      <alignment horizontal="right" vertical="center" wrapText="1" indent="1"/>
    </xf>
    <xf numFmtId="0" fontId="27" fillId="0" borderId="20" xfId="687" applyFont="1" applyBorder="1" applyNumberFormat="1">
      <alignment horizontal="left" vertical="center" wrapText="1" indent="1"/>
    </xf>
    <xf numFmtId="0" fontId="76" fillId="0" borderId="0" xfId="689" applyFont="1" applyNumberFormat="1">
      <alignment vertical="top"/>
    </xf>
    <xf numFmtId="0" fontId="77" fillId="0" borderId="0" xfId="690" applyFont="1" applyNumberFormat="1">
      <alignment vertical="top"/>
    </xf>
    <xf numFmtId="0" fontId="27" fillId="0" borderId="30" xfId="692" applyFont="1" applyBorder="1" applyNumberFormat="1">
      <alignment horizontal="left" vertical="center" wrapText="1"/>
    </xf>
    <xf numFmtId="0" fontId="44" fillId="0" borderId="28" xfId="695" applyFont="1" applyBorder="1" applyNumberFormat="1">
      <alignment vertical="center" wrapText="1"/>
    </xf>
    <xf numFmtId="0" fontId="48" fillId="0" borderId="23" xfId="697" applyFont="1" applyBorder="1" applyNumberFormat="1">
      <alignment horizontal="left" vertical="center" indent="1"/>
    </xf>
    <xf numFmtId="0" fontId="44" fillId="0" borderId="30" xfId="699" applyFont="1" applyBorder="1" applyNumberFormat="1">
      <alignment vertical="center" wrapText="1"/>
    </xf>
    <xf numFmtId="0" fontId="44" fillId="0" borderId="23" xfId="706" applyFont="1" applyBorder="1" applyNumberFormat="1">
      <alignment horizontal="left" vertical="center" indent="1"/>
    </xf>
    <xf numFmtId="0" fontId="27" fillId="0" borderId="23" xfId="710" applyFont="1" applyBorder="1" applyNumberFormat="1">
      <alignment vertical="center" wrapText="1"/>
    </xf>
    <xf numFmtId="0" fontId="23" fillId="0" borderId="23" xfId="712" applyFont="1" applyBorder="1" applyNumberFormat="1">
      <alignment horizontal="left" vertical="center" wrapText="1"/>
    </xf>
    <xf numFmtId="0" fontId="23" fillId="38" borderId="23" xfId="714" applyFont="1" applyFill="1" applyBorder="1" applyNumberFormat="1">
      <alignment horizontal="left" vertical="center" wrapText="1"/>
      <protection locked="0"/>
    </xf>
    <xf numFmtId="0" fontId="23" fillId="0" borderId="23" xfId="716" applyFont="1" applyBorder="1" applyNumberFormat="1">
      <alignment vertical="center" wrapText="1"/>
    </xf>
    <xf numFmtId="0" fontId="27" fillId="40" borderId="23" xfId="724" applyFont="1" applyFill="1" applyBorder="1" applyNumberFormat="1">
      <alignment horizontal="left" vertical="top" wrapText="1"/>
    </xf>
    <xf numFmtId="0" fontId="23" fillId="40" borderId="23" xfId="725" applyFont="1" applyFill="1" applyBorder="1" applyNumberFormat="1">
      <alignment horizontal="left" vertical="center" wrapText="1"/>
    </xf>
    <xf numFmtId="0" fontId="48" fillId="41" borderId="21" xfId="726" applyFont="1" applyFill="1" applyBorder="1" applyNumberFormat="1">
      <alignment horizontal="left" vertical="center"/>
    </xf>
    <xf numFmtId="0" fontId="48" fillId="41" borderId="25" xfId="727" applyFont="1" applyFill="1" applyBorder="1" applyNumberFormat="1">
      <alignment horizontal="left" vertical="center"/>
    </xf>
    <xf numFmtId="0" fontId="48" fillId="41" borderId="20" xfId="728" applyFont="1" applyFill="1" applyBorder="1" applyNumberFormat="1">
      <alignment horizontal="left" vertical="center"/>
    </xf>
    <xf numFmtId="0" fontId="23" fillId="41" borderId="25" xfId="732" applyFont="1" applyFill="1" applyBorder="1" applyNumberFormat="1">
      <alignment vertical="center"/>
    </xf>
    <xf numFmtId="0" fontId="48" fillId="0" borderId="42" xfId="737" applyFont="1" applyBorder="1" applyNumberFormat="1">
      <alignment horizontal="left" vertical="center"/>
    </xf>
    <xf numFmtId="0" fontId="48" fillId="35" borderId="42" xfId="739" applyFont="1" applyFill="1" applyBorder="1" applyNumberFormat="1">
      <alignment horizontal="left" vertical="center"/>
      <protection locked="0"/>
    </xf>
    <xf numFmtId="0" fontId="48" fillId="38" borderId="42" xfId="740" applyFont="1" applyFill="1" applyBorder="1" applyNumberFormat="1">
      <alignment horizontal="left" vertical="center"/>
      <protection locked="0"/>
    </xf>
    <xf numFmtId="0" fontId="44" fillId="0" borderId="21" xfId="743" applyFont="1" applyBorder="1" applyNumberFormat="1">
      <alignment horizontal="left" vertical="center"/>
    </xf>
    <xf numFmtId="0" fontId="44" fillId="0" borderId="25" xfId="744" applyFont="1" applyBorder="1" applyNumberFormat="1">
      <alignment horizontal="left" vertical="center"/>
    </xf>
    <xf numFmtId="0" fontId="48" fillId="41" borderId="34" xfId="745" applyFont="1" applyFill="1" applyBorder="1" applyNumberFormat="1">
      <alignment horizontal="left" vertical="center"/>
    </xf>
    <xf numFmtId="0" fontId="27" fillId="0" borderId="29" xfId="749" applyFont="1" applyBorder="1" applyNumberFormat="1">
      <alignment horizontal="center" vertical="center"/>
    </xf>
    <xf numFmtId="0" fontId="27" fillId="40" borderId="32" xfId="752" applyFont="1" applyFill="1" applyBorder="1" applyNumberFormat="1">
      <alignment horizontal="left" vertical="center" wrapText="1"/>
    </xf>
    <xf numFmtId="0" fontId="27" fillId="0" borderId="42" xfId="754" applyFont="1" applyBorder="1" applyNumberFormat="1">
      <alignment horizontal="left" vertical="center" wrapText="1"/>
    </xf>
    <xf numFmtId="0" fontId="27" fillId="40" borderId="42" xfId="756" applyFont="1" applyFill="1" applyBorder="1" applyNumberFormat="1">
      <alignment horizontal="left" vertical="center" wrapText="1"/>
    </xf>
    <xf numFmtId="0" fontId="48" fillId="0" borderId="30" xfId="758" applyFont="1" applyBorder="1" applyNumberFormat="1">
      <alignment horizontal="left" vertical="center"/>
    </xf>
    <xf numFmtId="0" fontId="48" fillId="41" borderId="33" xfId="759" applyFont="1" applyFill="1" applyBorder="1" applyNumberFormat="1">
      <alignment horizontal="left" vertical="center"/>
    </xf>
    <xf numFmtId="0" fontId="48" fillId="41" borderId="26" xfId="760" applyFont="1" applyFill="1" applyBorder="1" applyNumberFormat="1">
      <alignment horizontal="left" vertical="center"/>
    </xf>
    <xf numFmtId="0" fontId="48" fillId="41" borderId="27" xfId="761" applyFont="1" applyFill="1" applyBorder="1" applyNumberFormat="1">
      <alignment horizontal="left" vertical="center"/>
    </xf>
    <xf numFmtId="0" fontId="48" fillId="41" borderId="33" xfId="764" applyFont="1" applyFill="1" applyBorder="1" applyNumberFormat="1">
      <alignment vertical="center"/>
    </xf>
    <xf numFmtId="0" fontId="27" fillId="39" borderId="0" xfId="768" applyFont="1" applyFill="1" applyNumberFormat="1">
      <alignment horizontal="right" vertical="center" wrapText="1"/>
    </xf>
    <xf numFmtId="0" fontId="27" fillId="39" borderId="0" xfId="769" applyFont="1" applyFill="1" applyNumberFormat="1">
      <alignment horizontal="right" vertical="center"/>
    </xf>
    <xf numFmtId="0" fontId="23" fillId="0" borderId="23" xfId="770" applyFont="1" applyBorder="1" applyNumberFormat="1">
      <alignment horizontal="left" vertical="center" wrapText="1" indent="1"/>
    </xf>
    <xf numFmtId="0" fontId="23" fillId="38" borderId="23" xfId="771" applyFont="1" applyFill="1" applyBorder="1" applyNumberFormat="1">
      <alignment horizontal="left" vertical="center" wrapText="1" indent="2"/>
      <protection locked="0"/>
    </xf>
    <xf numFmtId="0" fontId="27" fillId="0" borderId="32" xfId="773" applyFont="1" applyBorder="1" applyNumberFormat="1">
      <alignment vertical="center" wrapText="1"/>
    </xf>
    <xf numFmtId="0" fontId="56" fillId="0" borderId="23" xfId="777" applyFont="1" applyBorder="1" applyNumberFormat="1">
      <alignment horizontal="left" vertical="center" wrapText="1" indent="2"/>
    </xf>
    <xf numFmtId="0" fontId="27" fillId="0" borderId="32" xfId="779" applyFont="1" applyBorder="1" applyNumberFormat="1">
      <alignment vertical="top" wrapText="1"/>
    </xf>
    <xf numFmtId="0" fontId="27" fillId="0" borderId="30" xfId="780" applyFont="1" applyBorder="1" applyNumberFormat="1">
      <alignment vertical="top" wrapText="1"/>
    </xf>
    <xf numFmtId="0" fontId="70" fillId="0" borderId="0" xfId="782" applyFont="1" applyNumberFormat="1">
      <alignment vertical="center" wrapText="1"/>
    </xf>
    <xf numFmtId="0" fontId="27" fillId="0" borderId="42" xfId="783" applyFont="1" applyBorder="1" applyNumberFormat="1">
      <alignment vertical="center" wrapText="1"/>
    </xf>
    <xf numFmtId="0" fontId="23" fillId="37" borderId="23" xfId="784" applyFont="1" applyFill="1" applyBorder="1" applyNumberFormat="1">
      <alignment horizontal="center" vertical="center" wrapText="1"/>
    </xf>
    <xf numFmtId="0" fontId="27" fillId="40" borderId="23" xfId="787" applyFont="1" applyFill="1" applyBorder="1" applyNumberFormat="1">
      <alignment horizontal="left" vertical="center" wrapText="1"/>
    </xf>
    <xf numFmtId="0" fontId="23" fillId="0" borderId="42" xfId="788" applyFont="1" applyBorder="1" applyNumberFormat="1">
      <alignment horizontal="center" vertical="center" wrapText="1"/>
    </xf>
    <xf numFmtId="0" fontId="27" fillId="0" borderId="0" xfId="789" applyFont="1" applyNumberFormat="1">
      <alignment vertical="top" wrapText="1"/>
    </xf>
    <xf numFmtId="0" fontId="27" fillId="0" borderId="25" xfId="791" applyFont="1" applyBorder="1" applyNumberFormat="1">
      <alignment horizontal="left" vertical="top" wrapText="1" indent="1"/>
    </xf>
    <xf numFmtId="0" fontId="31" fillId="39" borderId="0" xfId="792" applyFont="1" applyFill="1" applyNumberFormat="1">
      <alignment horizontal="center" vertical="center" wrapText="1"/>
    </xf>
    <xf numFmtId="0" fontId="23" fillId="39" borderId="21" xfId="793" applyFont="1" applyFill="1" applyBorder="1" applyNumberFormat="1">
      <alignment horizontal="right" vertical="center" wrapText="1" indent="1"/>
    </xf>
    <xf numFmtId="0" fontId="27" fillId="37" borderId="23" xfId="795" applyFont="1" applyFill="1" applyBorder="1" applyNumberFormat="1">
      <alignment horizontal="left" vertical="center" wrapText="1" indent="1"/>
    </xf>
    <xf numFmtId="0" fontId="27" fillId="39" borderId="32" xfId="796" applyFont="1" applyFill="1" applyBorder="1" applyNumberFormat="1">
      <alignment horizontal="center" vertical="center" wrapText="1"/>
    </xf>
    <xf numFmtId="0" fontId="27" fillId="39" borderId="25" xfId="797" applyFont="1" applyFill="1" applyBorder="1" applyNumberFormat="1">
      <alignment horizontal="center" vertical="center" wrapText="1"/>
    </xf>
    <xf numFmtId="0" fontId="27" fillId="39" borderId="20" xfId="798" applyFont="1" applyFill="1" applyBorder="1" applyNumberFormat="1">
      <alignment horizontal="center" vertical="center" wrapText="1"/>
    </xf>
    <xf numFmtId="0" fontId="27" fillId="39" borderId="30" xfId="799" applyFont="1" applyFill="1" applyBorder="1" applyNumberFormat="1">
      <alignment horizontal="center" vertical="center" wrapText="1"/>
    </xf>
    <xf numFmtId="0" fontId="23" fillId="0" borderId="32" xfId="802" applyFont="1" applyBorder="1" applyNumberFormat="1">
      <alignment horizontal="left" vertical="center" wrapText="1"/>
    </xf>
    <xf numFmtId="0" fontId="70" fillId="39" borderId="0" xfId="803" applyFont="1" applyFill="1" applyNumberFormat="1">
      <alignment horizontal="center" vertical="top" wrapText="1"/>
    </xf>
    <xf numFmtId="0" fontId="23" fillId="37" borderId="21" xfId="804" applyFont="1" applyFill="1" applyBorder="1" applyNumberFormat="1">
      <alignment horizontal="left" vertical="center" wrapText="1" indent="1"/>
    </xf>
    <xf numFmtId="0" fontId="70" fillId="39" borderId="29" xfId="806" applyFont="1" applyFill="1" applyBorder="1" applyNumberFormat="1">
      <alignment horizontal="center" vertical="top" wrapText="1"/>
    </xf>
    <xf numFmtId="0" fontId="23" fillId="37" borderId="30" xfId="808" applyFont="1" applyFill="1" applyBorder="1" applyNumberFormat="1">
      <alignment horizontal="left" vertical="center" wrapText="1" indent="1"/>
    </xf>
    <xf numFmtId="0" fontId="27" fillId="0" borderId="23" xfId="809" applyFont="1" applyBorder="1" applyNumberFormat="1">
      <alignment vertical="top" wrapText="1"/>
    </xf>
    <xf numFmtId="0" fontId="37" fillId="0" borderId="23" xfId="814" applyFont="1" applyBorder="1" applyNumberFormat="1">
      <alignment horizontal="center" vertical="center"/>
    </xf>
    <xf numFmtId="0" fontId="27" fillId="39" borderId="23" xfId="816" applyFont="1" applyFill="1" applyBorder="1" applyNumberFormat="1">
      <alignment horizontal="left" vertical="center" wrapText="1"/>
    </xf>
    <xf numFmtId="0" fontId="27" fillId="0" borderId="23" xfId="817" applyFont="1" applyBorder="1" applyNumberFormat="1">
      <alignment horizontal="left" vertical="center" wrapText="1" indent="6"/>
    </xf>
    <xf numFmtId="0" fontId="27" fillId="37" borderId="21" xfId="818" applyFont="1" applyFill="1" applyBorder="1" applyNumberFormat="1">
      <alignment horizontal="left" vertical="center" wrapText="1"/>
    </xf>
    <xf numFmtId="0" fontId="27" fillId="37" borderId="25" xfId="819" applyFont="1" applyFill="1" applyBorder="1" applyNumberFormat="1">
      <alignment horizontal="left" vertical="center" wrapText="1"/>
    </xf>
    <xf numFmtId="0" fontId="27" fillId="37" borderId="20" xfId="820" applyFont="1" applyFill="1" applyBorder="1" applyNumberFormat="1">
      <alignment horizontal="left" vertical="center" wrapText="1"/>
    </xf>
    <xf numFmtId="0" fontId="49" fillId="0" borderId="23" xfId="821" applyFont="1" applyBorder="1" applyNumberFormat="1">
      <alignment vertical="top" wrapText="1"/>
    </xf>
    <xf numFmtId="0" fontId="37" fillId="0" borderId="21" xfId="822" applyFont="1" applyBorder="1" applyNumberFormat="1">
      <alignment horizontal="center" vertical="center"/>
    </xf>
    <xf numFmtId="0" fontId="46" fillId="39" borderId="0" xfId="823" applyFont="1" applyFill="1" applyNumberFormat="1">
      <alignment horizontal="center" vertical="center" wrapText="1"/>
    </xf>
    <xf numFmtId="0" fontId="27" fillId="0" borderId="29" xfId="824" applyFont="1" applyBorder="1" applyNumberFormat="1">
      <alignment vertical="center" wrapText="1"/>
    </xf>
    <xf numFmtId="0" fontId="27" fillId="39" borderId="23" xfId="825" applyFont="1" applyFill="1" applyBorder="1" applyNumberFormat="1">
      <alignment horizontal="left" vertical="center" wrapText="1" indent="1"/>
    </xf>
    <xf numFmtId="0" fontId="27" fillId="39" borderId="23" xfId="826" applyFont="1" applyFill="1" applyBorder="1" applyNumberFormat="1">
      <alignment horizontal="left" vertical="center" wrapText="1" indent="2"/>
    </xf>
    <xf numFmtId="0" fontId="27" fillId="39" borderId="23" xfId="827" applyFont="1" applyFill="1" applyBorder="1" applyNumberFormat="1">
      <alignment horizontal="left" vertical="center" wrapText="1" indent="3"/>
    </xf>
    <xf numFmtId="0" fontId="37" fillId="0" borderId="0" xfId="828" applyFont="1" applyNumberFormat="1">
      <alignment horizontal="center" vertical="center"/>
    </xf>
    <xf numFmtId="0" fontId="44" fillId="0" borderId="29" xfId="829" applyFont="1" applyBorder="1" applyNumberFormat="1">
      <alignment horizontal="center" vertical="center" wrapText="1"/>
    </xf>
    <xf numFmtId="0" fontId="27" fillId="39" borderId="23" xfId="830" applyFont="1" applyFill="1" applyBorder="1" applyNumberFormat="1">
      <alignment horizontal="left" vertical="center" wrapText="1" indent="4"/>
    </xf>
    <xf numFmtId="0" fontId="27" fillId="40" borderId="25" xfId="831" applyFont="1" applyFill="1" applyBorder="1" applyNumberFormat="1">
      <alignment horizontal="left" vertical="center" wrapText="1"/>
    </xf>
    <xf numFmtId="0" fontId="27" fillId="40" borderId="20" xfId="832" applyFont="1" applyFill="1" applyBorder="1" applyNumberFormat="1">
      <alignment horizontal="left" vertical="center" wrapText="1"/>
    </xf>
    <xf numFmtId="0" fontId="37" fillId="0" borderId="21" xfId="833" applyFont="1" applyBorder="1" applyNumberFormat="1">
      <alignment horizontal="center" vertical="center" wrapText="1"/>
    </xf>
    <xf numFmtId="0" fontId="44" fillId="0" borderId="29" xfId="834" applyFont="1" applyBorder="1" applyNumberFormat="1">
      <alignment vertical="center" wrapText="1"/>
    </xf>
    <xf numFmtId="0" fontId="27" fillId="39" borderId="23" xfId="835" applyFont="1" applyFill="1" applyBorder="1" applyNumberFormat="1">
      <alignment horizontal="left" vertical="center" wrapText="1" indent="5"/>
    </xf>
    <xf numFmtId="0" fontId="27" fillId="40" borderId="23" xfId="836" applyFont="1" applyFill="1" applyBorder="1" applyNumberFormat="1">
      <alignment horizontal="left" vertical="center" wrapText="1" indent="6"/>
    </xf>
    <xf numFmtId="0" fontId="49" fillId="0" borderId="32" xfId="840" applyFont="1" applyBorder="1" applyNumberFormat="1">
      <alignment horizontal="left" vertical="top" wrapText="1"/>
    </xf>
    <xf numFmtId="0" fontId="49" fillId="0" borderId="42" xfId="842" applyFont="1" applyBorder="1" applyNumberFormat="1">
      <alignment horizontal="left" vertical="top" wrapText="1"/>
    </xf>
    <xf numFmtId="0" fontId="49" fillId="0" borderId="30" xfId="846" applyFont="1" applyBorder="1" applyNumberFormat="1">
      <alignment horizontal="left" vertical="top" wrapText="1"/>
    </xf>
    <xf numFmtId="0" fontId="27" fillId="39" borderId="0" xfId="859" applyFont="1" applyFill="1" applyNumberFormat="1">
      <alignment horizontal="left" vertical="center" wrapText="1"/>
    </xf>
    <xf numFmtId="0" fontId="23" fillId="39" borderId="23" xfId="860" applyFont="1" applyFill="1" applyBorder="1" applyNumberFormat="1">
      <alignment horizontal="right" vertical="center" wrapText="1" indent="1"/>
    </xf>
    <xf numFmtId="0" fontId="23" fillId="0" borderId="25" xfId="861" applyFont="1" applyBorder="1" applyNumberFormat="1">
      <alignment vertical="center"/>
    </xf>
    <xf numFmtId="0" fontId="27" fillId="39" borderId="45" xfId="862" applyFont="1" applyFill="1" applyBorder="1" applyNumberFormat="1">
      <alignment vertical="center" wrapText="1"/>
    </xf>
    <xf numFmtId="0" fontId="50" fillId="0" borderId="45" xfId="863" applyFont="1" applyBorder="1" applyNumberFormat="1">
      <alignment horizontal="center" vertical="center" wrapText="1"/>
    </xf>
    <xf numFmtId="0" fontId="23" fillId="39" borderId="21" xfId="864" applyFont="1" applyFill="1" applyBorder="1" applyNumberFormat="1">
      <alignment horizontal="center" vertical="center" wrapText="1"/>
    </xf>
    <xf numFmtId="0" fontId="23" fillId="39" borderId="25" xfId="865" applyFont="1" applyFill="1" applyBorder="1" applyNumberFormat="1">
      <alignment horizontal="center" vertical="center" wrapText="1"/>
    </xf>
    <xf numFmtId="0" fontId="23" fillId="39" borderId="20" xfId="866" applyFont="1" applyFill="1" applyBorder="1" applyNumberFormat="1">
      <alignment horizontal="center" vertical="center" wrapText="1"/>
    </xf>
    <xf numFmtId="0" fontId="37" fillId="0" borderId="32" xfId="868" applyFont="1" applyBorder="1" applyNumberFormat="1">
      <alignment horizontal="center" vertical="center" wrapText="1"/>
    </xf>
    <xf numFmtId="0" fontId="27" fillId="39" borderId="42" xfId="869" applyFont="1" applyFill="1" applyBorder="1" applyNumberFormat="1">
      <alignment horizontal="center" vertical="center" wrapText="1"/>
    </xf>
    <xf numFmtId="0" fontId="27" fillId="0" borderId="30" xfId="871" applyFont="1" applyBorder="1" applyNumberFormat="1">
      <alignment vertical="center" wrapText="1"/>
    </xf>
    <xf numFmtId="0" fontId="81" fillId="39" borderId="0" xfId="873" applyFont="1" applyFill="1" applyNumberFormat="1">
      <alignment vertical="center" wrapText="1"/>
    </xf>
    <xf numFmtId="0" fontId="82" fillId="39" borderId="0" xfId="874" applyFont="1" applyFill="1" applyNumberFormat="1">
      <alignment vertical="center" wrapText="1"/>
    </xf>
    <xf numFmtId="0" fontId="44" fillId="39" borderId="26" xfId="877" applyFont="1" applyFill="1" applyBorder="1" applyNumberFormat="1">
      <alignment horizontal="center" vertical="center" wrapText="1"/>
    </xf>
    <xf numFmtId="0" fontId="65" fillId="39" borderId="26" xfId="878" applyFont="1" applyFill="1" applyBorder="1" applyNumberFormat="1">
      <alignment horizontal="center" vertical="center" wrapText="1"/>
    </xf>
    <xf numFmtId="0" fontId="37" fillId="0" borderId="0" xfId="879" applyFont="1" applyNumberFormat="1">
      <alignment horizontal="left" vertical="center" indent="1"/>
    </xf>
    <xf numFmtId="0" fontId="23" fillId="39" borderId="26" xfId="885" applyFont="1" applyFill="1" applyBorder="1" applyNumberFormat="1">
      <alignment horizontal="center" vertical="center" wrapText="1"/>
    </xf>
    <xf numFmtId="0" fontId="44" fillId="0" borderId="32" xfId="886" applyFont="1" applyBorder="1" applyNumberFormat="1">
      <alignment horizontal="center" vertical="center" wrapText="1"/>
    </xf>
    <xf numFmtId="0" fontId="44" fillId="0" borderId="23" xfId="887" applyFont="1" applyBorder="1" applyNumberFormat="1">
      <alignment horizontal="left" vertical="center" wrapText="1" indent="4"/>
    </xf>
    <xf numFmtId="0" fontId="44" fillId="0" borderId="23" xfId="888" applyFont="1" applyBorder="1" applyNumberFormat="1">
      <alignment horizontal="left" vertical="center" wrapText="1" indent="6"/>
    </xf>
    <xf numFmtId="0" fontId="44" fillId="0" borderId="21" xfId="889" applyFont="1" applyBorder="1" applyNumberFormat="1">
      <alignment horizontal="left" vertical="center" wrapText="1"/>
    </xf>
    <xf numFmtId="0" fontId="44" fillId="0" borderId="25" xfId="890" applyFont="1" applyBorder="1" applyNumberFormat="1">
      <alignment horizontal="left" vertical="center" wrapText="1"/>
    </xf>
    <xf numFmtId="0" fontId="44" fillId="0" borderId="20" xfId="891" applyFont="1" applyBorder="1" applyNumberFormat="1">
      <alignment horizontal="left" vertical="center" wrapText="1"/>
    </xf>
    <xf numFmtId="0" fontId="44" fillId="0" borderId="23" xfId="892" applyFont="1" applyBorder="1" applyNumberFormat="1">
      <alignment vertical="top" wrapText="1"/>
    </xf>
    <xf numFmtId="0" fontId="44" fillId="0" borderId="0" xfId="897" applyFont="1" applyNumberFormat="1">
      <alignment horizontal="center" vertical="center"/>
    </xf>
    <xf numFmtId="0" fontId="27" fillId="39" borderId="32" xfId="898" applyFont="1" applyFill="1" applyBorder="1" applyNumberFormat="1">
      <alignment horizontal="left" vertical="center" wrapText="1"/>
    </xf>
    <xf numFmtId="0" fontId="27" fillId="39" borderId="32" xfId="899" applyFont="1" applyFill="1" applyBorder="1" applyNumberFormat="1">
      <alignment horizontal="left" vertical="center" wrapText="1" indent="2"/>
    </xf>
    <xf numFmtId="0" fontId="27" fillId="0" borderId="32" xfId="900" applyFont="1" applyBorder="1" applyNumberFormat="1">
      <alignment horizontal="left" vertical="center" wrapText="1" indent="6"/>
    </xf>
    <xf numFmtId="0" fontId="27" fillId="37" borderId="33" xfId="901" applyFont="1" applyFill="1" applyBorder="1" applyNumberFormat="1">
      <alignment horizontal="left" vertical="center" wrapText="1"/>
    </xf>
    <xf numFmtId="0" fontId="27" fillId="37" borderId="26" xfId="902" applyFont="1" applyFill="1" applyBorder="1" applyNumberFormat="1">
      <alignment horizontal="left" vertical="center" wrapText="1"/>
    </xf>
    <xf numFmtId="0" fontId="27" fillId="37" borderId="27" xfId="903" applyFont="1" applyFill="1" applyBorder="1" applyNumberFormat="1">
      <alignment horizontal="left" vertical="center" wrapText="1"/>
    </xf>
    <xf numFmtId="0" fontId="27" fillId="37" borderId="23" xfId="904" applyFont="1" applyFill="1" applyBorder="1" applyNumberFormat="1">
      <alignment horizontal="left" vertical="center" wrapText="1"/>
    </xf>
    <xf numFmtId="0" fontId="49" fillId="0" borderId="20" xfId="905" applyFont="1" applyBorder="1" applyNumberFormat="1">
      <alignment vertical="top" wrapText="1"/>
    </xf>
    <xf numFmtId="0" fontId="44" fillId="0" borderId="20" xfId="906" applyFont="1" applyBorder="1" applyNumberFormat="1">
      <alignment vertical="top" wrapText="1"/>
    </xf>
    <xf numFmtId="0" fontId="27" fillId="39" borderId="30" xfId="907" applyFont="1" applyFill="1" applyBorder="1" applyNumberFormat="1">
      <alignment horizontal="left" vertical="center" wrapText="1"/>
    </xf>
    <xf numFmtId="0" fontId="27" fillId="40" borderId="30" xfId="908" applyFont="1" applyFill="1" applyBorder="1" applyNumberFormat="1">
      <alignment horizontal="left" vertical="center" wrapText="1" indent="6"/>
    </xf>
    <xf numFmtId="0" fontId="27" fillId="0" borderId="30" xfId="909" applyFont="1" applyBorder="1" applyNumberFormat="1">
      <alignment horizontal="left" vertical="center" wrapText="1" indent="6"/>
    </xf>
    <xf numFmtId="0" fontId="27" fillId="0" borderId="23" xfId="913" applyFont="1" applyBorder="1" applyNumberFormat="1">
      <alignment horizontal="center" vertical="center"/>
    </xf>
    <xf numFmtId="0" fontId="27" fillId="0" borderId="21" xfId="914" applyFont="1" applyBorder="1" applyNumberFormat="1">
      <alignment horizontal="center" vertical="center"/>
    </xf>
    <xf numFmtId="0" fontId="27" fillId="0" borderId="0" xfId="915" applyFont="1" applyNumberFormat="1">
      <alignment horizontal="center" vertical="center"/>
    </xf>
    <xf numFmtId="0" fontId="27" fillId="40" borderId="27" xfId="916" applyFont="1" applyFill="1" applyBorder="1" applyNumberFormat="1">
      <alignment horizontal="left" vertical="center" wrapText="1"/>
    </xf>
    <xf numFmtId="0" fontId="49" fillId="0" borderId="32" xfId="919" applyFont="1" applyBorder="1" applyNumberFormat="1">
      <alignment vertical="top" wrapText="1"/>
    </xf>
    <xf numFmtId="0" fontId="27" fillId="35" borderId="23" xfId="920" applyFont="1" applyFill="1" applyBorder="1" applyNumberFormat="1">
      <alignment horizontal="left" vertical="center" wrapText="1" indent="7"/>
      <protection locked="0"/>
    </xf>
    <xf numFmtId="0" fontId="27" fillId="41" borderId="25" xfId="923" applyFont="1" applyFill="1" applyBorder="1" applyNumberFormat="1">
      <alignment horizontal="left" vertical="center" wrapText="1" indent="6"/>
    </xf>
    <xf numFmtId="0" fontId="27" fillId="0" borderId="26" xfId="929" applyFont="1" applyBorder="1" applyNumberFormat="1">
      <alignment horizontal="center" vertical="center" wrapText="1"/>
    </xf>
    <xf numFmtId="0" fontId="27" fillId="0" borderId="45" xfId="930" applyFont="1" applyBorder="1" applyNumberFormat="1">
      <alignment horizontal="center" vertical="center" wrapText="1"/>
    </xf>
    <xf numFmtId="0" fontId="55" fillId="0" borderId="0" xfId="931" applyFont="1" applyNumberFormat="1">
      <alignment horizontal="left" vertical="center" indent="1"/>
    </xf>
    <xf numFmtId="0" fontId="55" fillId="0" borderId="0" xfId="932" applyFont="1" applyNumberFormat="1">
      <alignment horizontal="center" vertical="center"/>
    </xf>
    <xf numFmtId="0" fontId="45" fillId="39" borderId="0" xfId="933" applyFont="1" applyFill="1" applyNumberFormat="1">
      <alignment horizontal="center" vertical="center" wrapText="1"/>
    </xf>
    <xf numFmtId="0" fontId="44" fillId="0" borderId="23" xfId="934" applyFont="1" applyBorder="1" applyNumberFormat="1">
      <alignment horizontal="left" vertical="center" wrapText="1" indent="5"/>
    </xf>
    <xf numFmtId="0" fontId="44" fillId="0" borderId="29" xfId="935" applyFont="1" applyBorder="1" applyNumberFormat="1">
      <alignment horizontal="center" vertical="top" wrapText="1"/>
    </xf>
    <xf numFmtId="0" fontId="50" fillId="0" borderId="23" xfId="937" applyFont="1" applyBorder="1" applyNumberFormat="1">
      <alignment horizontal="center" vertical="center" wrapText="1"/>
    </xf>
    <xf numFmtId="0" fontId="27" fillId="0" borderId="23" xfId="938" applyFont="1" applyBorder="1" applyNumberFormat="1">
      <alignment horizontal="left" vertical="center" wrapText="1" indent="4"/>
    </xf>
    <xf numFmtId="0" fontId="27" fillId="39" borderId="42" xfId="939" applyFont="1" applyFill="1" applyBorder="1" applyNumberFormat="1">
      <alignment horizontal="left" vertical="center" wrapText="1"/>
    </xf>
    <xf numFmtId="0" fontId="44" fillId="0" borderId="29" xfId="951" applyFont="1" applyBorder="1" applyNumberFormat="1">
      <alignment horizontal="left" vertical="center" wrapText="1" indent="1"/>
    </xf>
    <xf numFmtId="0" fontId="37" fillId="0" borderId="0" xfId="954" applyFont="1" applyNumberFormat="1">
      <alignment horizontal="left" vertical="center"/>
    </xf>
    <xf numFmtId="0" fontId="83" fillId="39" borderId="0" xfId="955" applyFont="1" applyFill="1" applyNumberFormat="1">
      <alignment vertical="center" wrapText="1"/>
    </xf>
    <xf numFmtId="0" fontId="27" fillId="39" borderId="33" xfId="956" applyFont="1" applyFill="1" applyBorder="1" applyNumberFormat="1">
      <alignment horizontal="center" vertical="center" wrapText="1"/>
    </xf>
    <xf numFmtId="0" fontId="23" fillId="39" borderId="33" xfId="957" applyFont="1" applyFill="1" applyBorder="1" applyNumberFormat="1">
      <alignment horizontal="center" vertical="center" wrapText="1"/>
    </xf>
    <xf numFmtId="0" fontId="23" fillId="39" borderId="27" xfId="958" applyFont="1" applyFill="1" applyBorder="1" applyNumberFormat="1">
      <alignment horizontal="center" vertical="center" wrapText="1"/>
    </xf>
    <xf numFmtId="0" fontId="27" fillId="39" borderId="28" xfId="959" applyFont="1" applyFill="1" applyBorder="1" applyNumberFormat="1">
      <alignment horizontal="center" vertical="center" wrapText="1"/>
    </xf>
    <xf numFmtId="0" fontId="23" fillId="39" borderId="28" xfId="960" applyFont="1" applyFill="1" applyBorder="1" applyNumberFormat="1">
      <alignment horizontal="center" vertical="center" wrapText="1"/>
    </xf>
    <xf numFmtId="0" fontId="23" fillId="39" borderId="0" xfId="961" applyFont="1" applyFill="1" applyNumberFormat="1">
      <alignment horizontal="center" vertical="center" wrapText="1"/>
    </xf>
    <xf numFmtId="0" fontId="23" fillId="39" borderId="29" xfId="962" applyFont="1" applyFill="1" applyBorder="1" applyNumberFormat="1">
      <alignment horizontal="center" vertical="center" wrapText="1"/>
    </xf>
    <xf numFmtId="0" fontId="27" fillId="37" borderId="23" xfId="963" applyFont="1" applyFill="1" applyBorder="1" applyNumberFormat="1">
      <alignment horizontal="center" vertical="center" wrapText="1"/>
    </xf>
    <xf numFmtId="0" fontId="27" fillId="38" borderId="23" xfId="964" applyFont="1" applyFill="1" applyBorder="1" applyNumberFormat="1">
      <alignment horizontal="center" vertical="center" wrapText="1"/>
      <protection locked="0"/>
    </xf>
    <xf numFmtId="0" fontId="27" fillId="39" borderId="35" xfId="965" applyFont="1" applyFill="1" applyBorder="1" applyNumberFormat="1">
      <alignment horizontal="center" vertical="center" wrapText="1"/>
    </xf>
    <xf numFmtId="0" fontId="23" fillId="39" borderId="35" xfId="966" applyFont="1" applyFill="1" applyBorder="1" applyNumberFormat="1">
      <alignment horizontal="center" vertical="center" wrapText="1"/>
    </xf>
    <xf numFmtId="0" fontId="23" fillId="39" borderId="45" xfId="967" applyFont="1" applyFill="1" applyBorder="1" applyNumberFormat="1">
      <alignment horizontal="center" vertical="center" wrapText="1"/>
    </xf>
    <xf numFmtId="0" fontId="23" fillId="39" borderId="34" xfId="968" applyFont="1" applyFill="1" applyBorder="1" applyNumberFormat="1">
      <alignment horizontal="center" vertical="center" wrapText="1"/>
    </xf>
    <xf numFmtId="0" fontId="27" fillId="0" borderId="23" xfId="969" applyFont="1" applyBorder="1" applyNumberFormat="1">
      <alignment horizontal="left" vertical="center" wrapText="1" indent="1"/>
    </xf>
    <xf numFmtId="0" fontId="83" fillId="0" borderId="0" xfId="972" applyFont="1" applyNumberFormat="1">
      <alignment vertical="center" wrapText="1"/>
    </xf>
    <xf numFmtId="0" fontId="21" fillId="0" borderId="26" xfId="973" applyFont="1" applyBorder="1" applyNumberFormat="1">
      <alignment horizontal="left" vertical="center" wrapText="1" indent="1"/>
    </xf>
    <xf numFmtId="0" fontId="21" fillId="0" borderId="45" xfId="974" applyFont="1" applyBorder="1" applyNumberFormat="1">
      <alignment horizontal="left" vertical="center" wrapText="1" indent="1"/>
    </xf>
    <xf numFmtId="0" fontId="27" fillId="0" borderId="0" xfId="987" applyFont="1" applyNumberFormat="1">
      <alignment horizontal="left" vertical="center"/>
    </xf>
    <xf numFmtId="0" fontId="27" fillId="38" borderId="20" xfId="988" applyFont="1" applyFill="1" applyBorder="1" applyNumberFormat="1">
      <alignment horizontal="center" vertical="center" wrapText="1"/>
      <protection locked="0"/>
    </xf>
    <xf numFmtId="0" fontId="27" fillId="39" borderId="34" xfId="989" applyFont="1" applyFill="1" applyBorder="1" applyNumberFormat="1">
      <alignment horizontal="center" vertical="center" wrapText="1"/>
    </xf>
    <xf numFmtId="0" fontId="23" fillId="0" borderId="23" xfId="991" applyFont="1" applyBorder="1" applyNumberFormat="1">
      <alignment horizontal="left" vertical="center" wrapText="1" indent="2"/>
    </xf>
    <xf numFmtId="0" fontId="27" fillId="0" borderId="0" xfId="994" applyFont="1" applyNumberFormat="1">
      <alignment horizontal="right" vertical="top" wrapText="1"/>
    </xf>
    <xf numFmtId="0" fontId="23" fillId="0" borderId="23" xfId="995" applyFont="1" applyBorder="1" applyNumberFormat="1">
      <alignment horizontal="left" vertical="top" wrapText="1"/>
    </xf>
    <xf numFmtId="0" fontId="27" fillId="0" borderId="26" xfId="996" applyFont="1" applyBorder="1" applyNumberFormat="1">
      <alignment vertical="center" wrapText="1"/>
    </xf>
    <xf numFmtId="0" fontId="27" fillId="0" borderId="26" xfId="1000" applyFont="1" applyBorder="1" applyNumberFormat="1">
      <alignment horizontal="left" vertical="top" wrapText="1"/>
    </xf>
    <xf numFmtId="0" fontId="27" fillId="0" borderId="21" xfId="1001" applyFont="1" applyBorder="1" applyNumberFormat="1">
      <alignment vertical="center" wrapText="1"/>
    </xf>
    <xf numFmtId="0" fontId="27" fillId="0" borderId="25" xfId="1002" applyFont="1" applyBorder="1" applyNumberFormat="1">
      <alignment horizontal="right" vertical="center" wrapText="1" indent="1"/>
    </xf>
    <xf numFmtId="0" fontId="27" fillId="0" borderId="20" xfId="1003" applyFont="1" applyBorder="1" applyNumberFormat="1">
      <alignment horizontal="right" vertical="center" wrapText="1" indent="1"/>
    </xf>
    <xf numFmtId="0" fontId="27" fillId="37" borderId="21" xfId="1004" applyFont="1" applyFill="1" applyBorder="1" applyNumberFormat="1">
      <alignment horizontal="left" vertical="top" wrapText="1" indent="1"/>
    </xf>
    <xf numFmtId="0" fontId="27" fillId="37" borderId="20" xfId="1005" applyFont="1" applyFill="1" applyBorder="1" applyNumberFormat="1">
      <alignment horizontal="left" vertical="top" wrapText="1" indent="1"/>
    </xf>
    <xf numFmtId="0" fontId="27" fillId="0" borderId="21" xfId="1006" applyFont="1" applyBorder="1" applyNumberFormat="1">
      <alignment horizontal="right" vertical="center" wrapText="1"/>
    </xf>
    <xf numFmtId="0" fontId="27" fillId="0" borderId="25" xfId="1007" applyFont="1" applyBorder="1" applyNumberFormat="1">
      <alignment horizontal="right" vertical="center" wrapText="1"/>
    </xf>
    <xf numFmtId="0" fontId="27" fillId="0" borderId="20" xfId="1011" applyFont="1" applyBorder="1" applyNumberFormat="1">
      <alignment vertical="center" wrapText="1"/>
    </xf>
    <xf numFmtId="0" fontId="87" fillId="0" borderId="0" xfId="1015" applyFont="1" applyNumberFormat="1">
      <alignment vertical="center" wrapText="1"/>
    </xf>
    <xf numFmtId="0" fontId="37" fillId="0" borderId="23" xfId="1019" applyFont="1" applyBorder="1" applyNumberFormat="1">
      <alignment vertical="top" wrapText="1"/>
    </xf>
    <xf numFmtId="0" fontId="23" fillId="0" borderId="21" xfId="1020" applyFont="1" applyBorder="1" applyNumberFormat="1">
      <alignment horizontal="center" vertical="center"/>
    </xf>
    <xf numFmtId="0" fontId="37" fillId="41" borderId="20" xfId="1024" applyFont="1" applyFill="1" applyBorder="1" applyNumberFormat="1">
      <alignment vertical="center" wrapText="1"/>
    </xf>
    <xf numFmtId="0" fontId="27" fillId="41" borderId="26" xfId="1025" applyFont="1" applyFill="1" applyBorder="1" applyNumberFormat="1">
      <alignment vertical="center" wrapText="1"/>
    </xf>
    <xf numFmtId="0" fontId="27" fillId="41" borderId="45" xfId="1026" applyFont="1" applyFill="1" applyBorder="1" applyNumberFormat="1">
      <alignment vertical="center" wrapText="1"/>
    </xf>
    <xf numFmtId="0" fontId="27" fillId="35" borderId="21" xfId="1027" applyFont="1" applyFill="1" applyBorder="1" applyNumberFormat="1">
      <alignment horizontal="left" vertical="center" wrapText="1"/>
      <protection locked="0"/>
    </xf>
    <xf numFmtId="0" fontId="27" fillId="35" borderId="25" xfId="1028" applyFont="1" applyFill="1" applyBorder="1" applyNumberFormat="1">
      <alignment horizontal="left" vertical="center" wrapText="1"/>
      <protection locked="0"/>
    </xf>
    <xf numFmtId="0" fontId="27" fillId="35" borderId="20" xfId="1029" applyFont="1" applyFill="1" applyBorder="1" applyNumberFormat="1">
      <alignment horizontal="left" vertical="center" wrapText="1"/>
      <protection locked="0"/>
    </xf>
    <xf numFmtId="0" fontId="49" fillId="0" borderId="23" xfId="1034" applyFont="1" applyBorder="1" applyNumberFormat="1">
      <alignment horizontal="left" vertical="top" wrapText="1"/>
    </xf>
    <xf numFmtId="0" fontId="88" fillId="39" borderId="0" xfId="1036" applyFont="1" applyFill="1" applyNumberFormat="1">
      <alignment horizontal="center" vertical="center" wrapText="1"/>
    </xf>
    <xf numFmtId="0" fontId="44" fillId="39" borderId="23" xfId="1037" applyFont="1" applyFill="1" applyBorder="1" applyNumberFormat="1">
      <alignment horizontal="left" vertical="center" wrapText="1" indent="3"/>
    </xf>
    <xf numFmtId="0" fontId="44" fillId="0" borderId="26" xfId="1043" applyFont="1" applyBorder="1" applyNumberFormat="1">
      <alignment horizontal="left" vertical="center" wrapText="1"/>
    </xf>
    <xf numFmtId="0" fontId="27" fillId="0" borderId="66" xfId="1044" applyFont="1" applyBorder="1" applyNumberFormat="1">
      <alignment horizontal="center" vertical="center" wrapText="1"/>
    </xf>
    <xf numFmtId="0" fontId="27" fillId="38" borderId="23" xfId="1045" applyFont="1" applyFill="1" applyBorder="1" applyNumberFormat="1">
      <alignment horizontal="left" vertical="center" wrapText="1" indent="2"/>
      <protection locked="0"/>
    </xf>
    <xf numFmtId="0" fontId="44" fillId="0" borderId="66" xfId="1046" applyFont="1" applyBorder="1" applyNumberFormat="1">
      <alignment horizontal="center" vertical="center" wrapText="1"/>
    </xf>
    <xf numFmtId="0" fontId="44" fillId="0" borderId="23" xfId="1047" applyFont="1" applyBorder="1" applyNumberFormat="1">
      <alignment horizontal="left" vertical="center" wrapText="1" indent="2"/>
    </xf>
    <xf numFmtId="0" fontId="27" fillId="0" borderId="23" xfId="1048" applyFont="1" applyBorder="1" applyNumberFormat="1">
      <alignment horizontal="left" vertical="center" wrapText="1" indent="3"/>
    </xf>
    <xf numFmtId="0" fontId="27" fillId="35" borderId="23" xfId="1050" applyFont="1" applyFill="1" applyBorder="1" applyNumberFormat="1">
      <alignment horizontal="left" vertical="center" wrapText="1"/>
      <protection locked="0"/>
    </xf>
    <xf numFmtId="0" fontId="27" fillId="0" borderId="20" xfId="1051" applyFont="1" applyBorder="1" applyNumberFormat="1">
      <alignment vertical="top" wrapText="1"/>
    </xf>
    <xf numFmtId="0" fontId="27" fillId="0" borderId="27" xfId="1053" applyFont="1" applyBorder="1" applyNumberFormat="1">
      <alignment vertical="center" wrapText="1"/>
    </xf>
    <xf numFmtId="0" fontId="80" fillId="39" borderId="0" xfId="1054" applyFont="1" applyFill="1" applyNumberFormat="1">
      <alignment horizontal="right" vertical="center"/>
    </xf>
    <xf numFmtId="0" fontId="27" fillId="37" borderId="21" xfId="1055" applyFont="1" applyFill="1" applyBorder="1" applyNumberFormat="1">
      <alignment horizontal="left" vertical="top" wrapText="1"/>
    </xf>
    <xf numFmtId="0" fontId="55" fillId="0" borderId="0" xfId="1058" applyFont="1" applyNumberFormat="1">
      <alignment horizontal="center" vertical="center" wrapText="1"/>
    </xf>
    <xf numFmtId="0" fontId="55" fillId="0" borderId="23" xfId="1060" applyFont="1" applyBorder="1" applyNumberFormat="1">
      <alignment horizontal="left" vertical="center" wrapText="1" indent="2"/>
    </xf>
    <xf numFmtId="0" fontId="55" fillId="0" borderId="23" xfId="1061" applyFont="1" applyBorder="1" applyNumberFormat="1">
      <alignment horizontal="center" vertical="center" wrapText="1"/>
    </xf>
    <xf numFmtId="0" fontId="55" fillId="0" borderId="23" xfId="1062" applyFont="1" applyBorder="1" applyNumberFormat="1">
      <alignment vertical="center" wrapText="1"/>
    </xf>
    <xf numFmtId="0" fontId="55" fillId="0" borderId="66" xfId="1063" applyFont="1" applyBorder="1" applyNumberFormat="1">
      <alignment horizontal="center" vertical="center" wrapText="1"/>
    </xf>
    <xf numFmtId="0" fontId="55" fillId="0" borderId="23" xfId="1064" applyFont="1" applyBorder="1" applyNumberFormat="1">
      <alignment horizontal="left" vertical="center" wrapText="1" indent="3"/>
    </xf>
    <xf numFmtId="0" fontId="27" fillId="0" borderId="23" xfId="1067" applyFont="1" applyBorder="1" applyNumberFormat="1">
      <alignment horizontal="left" vertical="center" wrapText="1" indent="2"/>
    </xf>
    <xf numFmtId="0" fontId="37" fillId="0" borderId="0" xfId="1070" applyFont="1" applyNumberFormat="1">
      <alignment horizontal="left" vertical="center" wrapText="1"/>
    </xf>
    <xf numFmtId="0" fontId="44" fillId="0" borderId="23" xfId="1072" applyFont="1" applyBorder="1" applyNumberFormat="1">
      <alignment horizontal="left" vertical="center" wrapText="1" indent="3"/>
    </xf>
    <xf numFmtId="0" fontId="44" fillId="0" borderId="32" xfId="1074" applyFont="1" applyBorder="1" applyNumberFormat="1">
      <alignment vertical="top" wrapText="1"/>
    </xf>
    <xf numFmtId="0" fontId="27" fillId="0" borderId="21" xfId="1075" applyFont="1" applyBorder="1" applyNumberFormat="1">
      <alignment horizontal="left" vertical="center" wrapText="1" indent="2"/>
    </xf>
    <xf numFmtId="0" fontId="27" fillId="0" borderId="21" xfId="1077" applyFont="1" applyBorder="1" applyNumberFormat="1">
      <alignment horizontal="left" vertical="center" wrapText="1" indent="1"/>
    </xf>
    <xf numFmtId="0" fontId="44" fillId="0" borderId="42" xfId="1084" applyFont="1" applyBorder="1" applyNumberFormat="1">
      <alignment horizontal="left" vertical="center" wrapText="1" indent="1"/>
    </xf>
    <xf numFmtId="0" fontId="44" fillId="0" borderId="42" xfId="1085" applyFont="1" applyBorder="1" applyNumberFormat="1">
      <alignment horizontal="center" vertical="center" wrapText="1"/>
    </xf>
    <xf numFmtId="0" fontId="44" fillId="0" borderId="32" xfId="1086" applyFont="1" applyBorder="1" applyNumberFormat="1">
      <alignment vertical="center" wrapText="1"/>
    </xf>
    <xf numFmtId="0" fontId="44" fillId="0" borderId="30" xfId="1090" applyFont="1" applyBorder="1" applyNumberFormat="1">
      <alignment horizontal="left" vertical="center" wrapText="1" indent="1"/>
    </xf>
    <xf numFmtId="0" fontId="44" fillId="0" borderId="32" xfId="1091" applyFont="1" applyBorder="1" applyNumberFormat="1">
      <alignment horizontal="left" vertical="center" wrapText="1" indent="1"/>
    </xf>
    <xf numFmtId="0" fontId="67" fillId="0" borderId="0" xfId="1093" applyFont="1" applyNumberFormat="1">
      <alignment vertical="center" wrapText="1"/>
    </xf>
    <xf numFmtId="0" fontId="27" fillId="0" borderId="45" xfId="1094" applyFont="1" applyBorder="1" applyNumberFormat="1">
      <alignment vertical="center" wrapText="1"/>
    </xf>
    <xf numFmtId="0" fontId="84" fillId="39" borderId="0" xfId="1095" applyFont="1" applyFill="1" applyNumberFormat="1">
      <alignment horizontal="right" vertical="center"/>
    </xf>
    <xf numFmtId="0" fontId="44" fillId="0" borderId="21" xfId="1101" applyFont="1" applyBorder="1" applyNumberFormat="1">
      <alignment vertical="center" wrapText="1"/>
    </xf>
    <xf numFmtId="0" fontId="44" fillId="0" borderId="25" xfId="1102" applyFont="1" applyBorder="1" applyNumberFormat="1">
      <alignment horizontal="right" vertical="center" wrapText="1" indent="1"/>
    </xf>
    <xf numFmtId="0" fontId="44" fillId="0" borderId="20" xfId="1103" applyFont="1" applyBorder="1" applyNumberFormat="1">
      <alignment horizontal="right" vertical="center" wrapText="1" indent="1"/>
    </xf>
    <xf numFmtId="0" fontId="44" fillId="0" borderId="21" xfId="1104" applyFont="1" applyBorder="1" applyNumberFormat="1">
      <alignment horizontal="left" vertical="top" wrapText="1"/>
    </xf>
    <xf numFmtId="0" fontId="89" fillId="0" borderId="0" xfId="1106" applyFont="1" applyNumberFormat="1">
      <alignment vertical="center" wrapText="1"/>
    </xf>
    <xf numFmtId="0" fontId="44" fillId="0" borderId="45" xfId="1113" applyFont="1" applyBorder="1" applyNumberFormat="1">
      <alignment vertical="center" wrapText="1"/>
    </xf>
    <xf numFmtId="0" fontId="27" fillId="37" borderId="20" xfId="1114" applyFont="1" applyFill="1" applyBorder="1" applyNumberFormat="1">
      <alignment horizontal="left" vertical="top" wrapText="1"/>
    </xf>
    <xf numFmtId="0" fontId="90" fillId="0" borderId="28" xfId="1117" applyFont="1" applyBorder="1" applyNumberFormat="1">
      <alignment vertical="center" wrapText="1"/>
    </xf>
    <xf numFmtId="0" fontId="27" fillId="0" borderId="52" xfId="1122" applyFont="1" applyBorder="1" applyNumberFormat="1">
      <alignment horizontal="left" vertical="center" wrapText="1"/>
    </xf>
    <xf numFmtId="0" fontId="27" fillId="0" borderId="54" xfId="1126" applyFont="1" applyBorder="1" applyNumberFormat="1">
      <alignment horizontal="left" vertical="center" wrapText="1" indent="1"/>
    </xf>
    <xf numFmtId="0" fontId="27" fillId="0" borderId="54" xfId="1130" applyFont="1" applyBorder="1" applyNumberFormat="1">
      <alignment horizontal="left" vertical="center" wrapText="1"/>
    </xf>
    <xf numFmtId="0" fontId="27" fillId="0" borderId="49" xfId="1132" applyFont="1" applyBorder="1" applyNumberFormat="1">
      <alignment horizontal="left" vertical="center" wrapText="1" indent="1"/>
    </xf>
    <xf numFmtId="0" fontId="27" fillId="0" borderId="49" xfId="1134" applyFont="1" applyBorder="1" applyNumberFormat="1">
      <alignment horizontal="left" vertical="center" wrapText="1"/>
    </xf>
    <xf numFmtId="0" fontId="27" fillId="0" borderId="49" xfId="1135" applyFont="1" applyBorder="1" applyNumberFormat="1">
      <alignment horizontal="left" vertical="center" wrapText="1" indent="2"/>
    </xf>
    <xf numFmtId="0" fontId="27" fillId="0" borderId="71" xfId="1138" applyFont="1" applyBorder="1" applyNumberFormat="1">
      <alignment horizontal="left" vertical="center" wrapText="1"/>
    </xf>
    <xf numFmtId="0" fontId="37" fillId="53" borderId="23" xfId="1145" applyFont="1" applyFill="1" applyBorder="1" applyNumberFormat="1">
      <alignment horizontal="left" vertical="center" wrapText="1"/>
    </xf>
    <xf numFmtId="0" fontId="27" fillId="49" borderId="23" xfId="1146" applyFont="1" applyFill="1" applyBorder="1" applyNumberFormat="1">
      <alignment vertical="center"/>
    </xf>
    <xf numFmtId="0" fontId="27" fillId="0" borderId="26" xfId="1150" applyFont="1" applyBorder="1" applyNumberFormat="1">
      <alignment horizontal="right" vertical="center" wrapText="1" indent="1"/>
    </xf>
    <xf numFmtId="0" fontId="37" fillId="41" borderId="25" xfId="1152" applyFont="1" applyFill="1" applyBorder="1" applyNumberFormat="1">
      <alignment vertical="center" wrapText="1"/>
    </xf>
    <xf numFmtId="0" fontId="27" fillId="39" borderId="27" xfId="1154" applyFont="1" applyFill="1" applyBorder="1" applyNumberFormat="1">
      <alignment horizontal="center" vertical="center" wrapText="1"/>
    </xf>
    <xf numFmtId="0" fontId="23" fillId="39" borderId="32" xfId="1155" applyFont="1" applyFill="1" applyBorder="1" applyNumberFormat="1">
      <alignment horizontal="center" vertical="center" wrapText="1"/>
    </xf>
    <xf numFmtId="0" fontId="27" fillId="41" borderId="34" xfId="1157" applyFont="1" applyFill="1" applyBorder="1" applyNumberFormat="1">
      <alignment vertical="center" wrapText="1"/>
    </xf>
    <xf numFmtId="0" fontId="27" fillId="39" borderId="19" xfId="1158" applyFont="1" applyFill="1" applyBorder="1" applyNumberFormat="1">
      <alignment vertical="center" wrapText="1"/>
    </xf>
    <xf numFmtId="0" fontId="31" fillId="39" borderId="19" xfId="1160" applyFont="1" applyFill="1" applyBorder="1" applyNumberFormat="1">
      <alignment horizontal="center" wrapText="1"/>
    </xf>
    <xf numFmtId="0" fontId="27" fillId="0" borderId="15" xfId="1161" applyFont="1" applyBorder="1" applyNumberFormat="1">
      <alignment horizontal="center" vertical="center"/>
    </xf>
    <xf numFmtId="0" fontId="27" fillId="0" borderId="16" xfId="1162" applyFont="1" applyBorder="1" applyNumberFormat="1">
      <alignment horizontal="center" vertical="center"/>
    </xf>
    <xf numFmtId="0" fontId="27" fillId="0" borderId="17" xfId="1163" applyFont="1" applyBorder="1" applyNumberFormat="1">
      <alignment horizontal="center" vertical="center"/>
    </xf>
    <xf numFmtId="0" fontId="27" fillId="0" borderId="13" xfId="1164" applyFont="1" applyBorder="1" applyNumberFormat="1">
      <alignment vertical="center" wrapText="1"/>
    </xf>
    <xf numFmtId="0" fontId="27" fillId="39" borderId="26" xfId="1165" applyFont="1" applyFill="1" applyBorder="1" applyNumberFormat="1">
      <alignment vertical="center" wrapText="1"/>
    </xf>
    <xf numFmtId="0" fontId="44" fillId="0" borderId="19" xfId="1166" applyFont="1" applyBorder="1" applyNumberFormat="1">
      <alignment vertical="center" wrapText="1"/>
    </xf>
    <xf numFmtId="0" fontId="27" fillId="0" borderId="72" xfId="1167" applyFont="1" applyBorder="1" applyNumberFormat="1">
      <alignment horizontal="center" vertical="center"/>
    </xf>
    <xf numFmtId="0" fontId="27" fillId="0" borderId="44" xfId="1168" applyFont="1" applyBorder="1" applyNumberFormat="1">
      <alignment horizontal="center" vertical="center"/>
    </xf>
    <xf numFmtId="0" fontId="27" fillId="0" borderId="13" xfId="1169" applyFont="1" applyBorder="1" applyNumberFormat="1">
      <alignment vertical="center"/>
    </xf>
    <xf numFmtId="0" fontId="27" fillId="0" borderId="27" xfId="1180" applyFont="1" applyBorder="1" applyNumberFormat="1">
      <alignment horizontal="left" vertical="top" wrapText="1"/>
    </xf>
    <xf numFmtId="0" fontId="27" fillId="45" borderId="21" xfId="1184" applyFont="1" applyFill="1" applyBorder="1" applyNumberFormat="1">
      <alignment horizontal="center" vertical="center" wrapText="1"/>
    </xf>
    <xf numFmtId="0" fontId="27" fillId="45" borderId="25" xfId="1185" applyFont="1" applyFill="1" applyBorder="1" applyNumberFormat="1">
      <alignment horizontal="center" vertical="center" wrapText="1"/>
    </xf>
    <xf numFmtId="0" fontId="27" fillId="45" borderId="20" xfId="1186" applyFont="1" applyFill="1" applyBorder="1" applyNumberFormat="1">
      <alignment horizontal="center" vertical="center" wrapText="1"/>
    </xf>
    <xf numFmtId="0" fontId="27" fillId="43" borderId="23" xfId="1200" applyFont="1" applyFill="1" applyBorder="1" applyNumberFormat="1">
      <alignment horizontal="center" vertical="center" wrapText="1"/>
    </xf>
    <xf numFmtId="0" fontId="27" fillId="43" borderId="21" xfId="1201" applyFont="1" applyFill="1" applyBorder="1" applyNumberFormat="1">
      <alignment horizontal="center" vertical="center" wrapText="1"/>
    </xf>
    <xf numFmtId="0" fontId="27" fillId="43" borderId="20" xfId="1202" applyFont="1" applyFill="1" applyBorder="1" applyNumberFormat="1">
      <alignment horizontal="center" vertical="center" wrapText="1"/>
    </xf>
    <xf numFmtId="0" fontId="47" fillId="0" borderId="23" xfId="1206" applyFont="1" applyBorder="1" applyNumberFormat="1">
      <alignment horizontal="center" vertical="center"/>
    </xf>
    <xf numFmtId="0" fontId="27" fillId="0" borderId="32" xfId="1209" applyFont="1" applyBorder="1" applyNumberFormat="1">
      <alignment horizontal="right" vertical="center"/>
    </xf>
    <xf numFmtId="0" fontId="27" fillId="0" borderId="32" xfId="1210" applyFont="1" applyBorder="1" applyNumberFormat="1">
      <alignment horizontal="center" vertical="center"/>
    </xf>
    <xf numFmtId="0" fontId="93" fillId="39" borderId="0" xfId="1213" applyFont="1" applyFill="1" applyNumberFormat="1">
      <alignment horizontal="center" vertical="center" wrapText="1"/>
    </xf>
    <xf numFmtId="0" fontId="28" fillId="39" borderId="0" xfId="1214" applyFont="1" applyFill="1" applyNumberFormat="1"/>
    <xf numFmtId="0" fontId="27" fillId="0" borderId="0" xfId="1217" applyFont="1" applyNumberFormat="1"/>
    <xf numFmtId="0" fontId="50" fillId="39" borderId="0" xfId="1218" applyFont="1" applyFill="1" applyNumberFormat="1">
      <alignment horizontal="center" vertical="center"/>
    </xf>
    <xf numFmtId="0" fontId="27" fillId="39" borderId="32" xfId="1219" applyFont="1" applyFill="1" applyBorder="1" applyNumberFormat="1">
      <alignment horizontal="center" vertical="center"/>
    </xf>
    <xf numFmtId="0" fontId="50" fillId="0" borderId="0" xfId="1221" applyFont="1" applyNumberFormat="1">
      <alignment horizontal="center" vertical="center"/>
    </xf>
    <xf numFmtId="0" fontId="37" fillId="39" borderId="0" xfId="1223" applyFont="1" applyFill="1" applyNumberFormat="1"/>
    <xf numFmtId="0" fontId="94" fillId="39" borderId="0" xfId="1224" applyFont="1" applyFill="1" applyNumberFormat="1"/>
    <xf numFmtId="0" fontId="44" fillId="39" borderId="0" xfId="1225" applyFont="1" applyFill="1" applyNumberFormat="1">
      <alignment horizontal="center" vertical="center" wrapText="1"/>
    </xf>
    <xf numFmtId="0" fontId="23" fillId="39" borderId="32" xfId="1226" applyFont="1" applyFill="1" applyBorder="1" applyNumberFormat="1">
      <alignment horizontal="left" vertical="top" wrapText="1"/>
    </xf>
    <xf numFmtId="0" fontId="55" fillId="39" borderId="0" xfId="1227" applyFont="1" applyFill="1" applyNumberFormat="1">
      <alignment vertical="center" wrapText="1"/>
    </xf>
    <xf numFmtId="0" fontId="44" fillId="39" borderId="23" xfId="1228" applyFont="1" applyFill="1" applyBorder="1" applyNumberFormat="1">
      <alignment horizontal="center" vertical="center"/>
    </xf>
    <xf numFmtId="0" fontId="23" fillId="39" borderId="42" xfId="1229" applyFont="1" applyFill="1" applyBorder="1" applyNumberFormat="1">
      <alignment horizontal="left" vertical="top" wrapText="1"/>
    </xf>
    <xf numFmtId="0" fontId="56" fillId="39" borderId="0" xfId="1230" applyFont="1" applyFill="1" applyNumberFormat="1"/>
    <xf numFmtId="0" fontId="23" fillId="39" borderId="30" xfId="1231" applyFont="1" applyFill="1" applyBorder="1" applyNumberFormat="1">
      <alignment horizontal="left" vertical="top" wrapText="1"/>
    </xf>
    <xf numFmtId="0" fontId="89" fillId="39" borderId="0" xfId="1232" applyFont="1" applyFill="1" applyNumberFormat="1"/>
    <xf numFmtId="0" fontId="27" fillId="39" borderId="23" xfId="1233" applyFont="1" applyFill="1" applyBorder="1" applyNumberFormat="1">
      <alignment horizontal="left" vertical="top" wrapText="1"/>
    </xf>
    <xf numFmtId="0" fontId="27" fillId="39" borderId="23" xfId="1235" applyFont="1" applyFill="1" applyBorder="1" applyNumberFormat="1">
      <alignment vertical="top" wrapText="1"/>
    </xf>
    <xf numFmtId="0" fontId="37" fillId="0" borderId="42" xfId="1237" applyFont="1" applyBorder="1" applyNumberFormat="1">
      <alignment horizontal="left" vertical="center" wrapText="1" indent="1"/>
    </xf>
    <xf numFmtId="0" fontId="95" fillId="0" borderId="0" xfId="1248" applyFont="1" applyNumberFormat="1">
      <alignment vertical="center"/>
    </xf>
    <xf numFmtId="0" fontId="27" fillId="37" borderId="30" xfId="1254" applyFont="1" applyFill="1" applyBorder="1" applyNumberFormat="1">
      <alignment horizontal="left" vertical="center" wrapText="1" indent="1"/>
    </xf>
    <xf numFmtId="0" fontId="27" fillId="0" borderId="34" xfId="1256" applyFont="1" applyBorder="1" applyNumberFormat="1">
      <alignment horizontal="left" vertical="top" wrapText="1"/>
    </xf>
    <xf numFmtId="0" fontId="27" fillId="39" borderId="42" xfId="1260" applyFont="1" applyFill="1" applyBorder="1" applyNumberFormat="1">
      <alignment vertical="center" wrapText="1"/>
    </xf>
    <xf numFmtId="0" fontId="44" fillId="0" borderId="45" xfId="1261" applyFont="1" applyBorder="1" applyNumberFormat="1">
      <alignment horizontal="center" vertical="center" wrapText="1"/>
    </xf>
    <xf numFmtId="0" fontId="27" fillId="39" borderId="28" xfId="1262" applyFont="1" applyFill="1" applyBorder="1" applyNumberFormat="1">
      <alignment vertical="center" wrapText="1"/>
    </xf>
    <xf numFmtId="0" fontId="27" fillId="0" borderId="25" xfId="1263" applyFont="1" applyBorder="1" applyNumberFormat="1">
      <alignment horizontal="left" vertical="center" wrapText="1"/>
    </xf>
    <xf numFmtId="0" fontId="46" fillId="0" borderId="0" xfId="1266" applyFont="1" applyNumberFormat="1">
      <alignment horizontal="center" vertical="center" wrapText="1"/>
    </xf>
    <xf numFmtId="0" fontId="27" fillId="37" borderId="34" xfId="1268" applyFont="1" applyFill="1" applyBorder="1" applyNumberFormat="1">
      <alignment horizontal="left" vertical="center" wrapText="1"/>
    </xf>
    <xf numFmtId="0" fontId="23" fillId="0" borderId="0" xfId="1289" applyFont="1" applyNumberFormat="1"/>
    <xf numFmtId="0" fontId="23" fillId="0" borderId="24" xfId="1291" applyFont="1" applyBorder="1" applyNumberFormat="1">
      <alignment vertical="top" wrapText="1"/>
    </xf>
    <xf numFmtId="0" fontId="21" fillId="0" borderId="74" xfId="1292" applyFont="1" applyBorder="1" applyNumberFormat="1">
      <alignment vertical="top" wrapText="1"/>
    </xf>
    <xf numFmtId="0" fontId="23" fillId="0" borderId="23" xfId="1293" applyFont="1" applyBorder="1" applyNumberFormat="1">
      <alignment vertical="top" wrapText="1"/>
    </xf>
    <xf numFmtId="0" fontId="31" fillId="0" borderId="24" xfId="1295" applyFont="1" applyBorder="1" applyNumberFormat="1">
      <alignment vertical="center" wrapText="1"/>
    </xf>
    <xf numFmtId="0" fontId="21" fillId="0" borderId="0" xfId="1296" applyFont="1" applyNumberFormat="1">
      <alignment vertical="top" wrapText="1"/>
    </xf>
    <xf numFmtId="0" fontId="27" fillId="0" borderId="24" xfId="1297" applyFont="1" applyBorder="1" applyNumberFormat="1">
      <alignment vertical="center" wrapText="1"/>
    </xf>
    <xf numFmtId="0" fontId="0" fillId="0" borderId="0" xfId="0" applyFont="1" applyNumberFormat="1">
      <alignment vertical="top"/>
    </xf>
    <xf numFmtId="0"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0" fillId="0" borderId="0" xfId="28" applyFont="1" applyNumberFormat="1">
      <alignment vertical="top"/>
    </xf>
    <xf numFmtId="41" fontId="0" fillId="0" borderId="0" xfId="29" applyFont="1" applyNumberFormat="1">
      <alignment vertical="top"/>
    </xf>
    <xf numFmtId="44" fontId="0" fillId="0" borderId="0" xfId="30" applyFont="1" applyNumberFormat="1">
      <alignment vertical="top"/>
    </xf>
    <xf numFmtId="42" fontId="0"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0" fillId="32" borderId="7" xfId="41" applyFont="1" applyFill="1" applyBorder="1" applyNumberFormat="1">
      <alignment vertical="top"/>
    </xf>
    <xf numFmtId="0" fontId="15" fillId="27" borderId="8" xfId="42" applyFont="1" applyFill="1" applyBorder="1" applyNumberFormat="1">
      <alignment vertical="top"/>
    </xf>
    <xf numFmtId="9" fontId="0"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0" fontId="23" fillId="38" borderId="23" xfId="105" applyFont="1" applyFill="1" applyBorder="1" applyNumberFormat="1">
      <alignment horizontal="left" vertical="center" wrapText="1" indent="1"/>
      <protection locked="0"/>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0" fontId="39" fillId="39" borderId="0" xfId="115" applyFont="1" applyFill="1" applyNumberFormat="1">
      <alignment horizontal="center" vertical="center" wrapText="1"/>
    </xf>
    <xf numFmtId="0" fontId="23" fillId="39" borderId="22" xfId="118" applyFont="1" applyFill="1" applyBorder="1" applyNumberFormat="1">
      <alignment horizontal="right" vertical="center" wrapText="1" inden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0" fontId="27" fillId="40" borderId="23" xfId="124" applyFont="1" applyFill="1" applyBorder="1" applyNumberFormat="1">
      <alignment horizontal="left" vertical="center" wrapText="1" indent="1"/>
    </xf>
    <xf numFmtId="0" fontId="27" fillId="38" borderId="23" xfId="126" applyFont="1" applyFill="1" applyBorder="1" applyNumberFormat="1">
      <alignment horizontal="left" vertical="center" wrapText="1" indent="1"/>
    </xf>
    <xf numFmtId="0" fontId="27" fillId="0" borderId="0" xfId="128" applyFont="1" applyNumberFormat="1">
      <alignment horizontal="left" vertical="center" wrapText="1" indent="4"/>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0" fontId="27" fillId="0" borderId="31" xfId="173" applyFont="1" applyBorder="1" applyNumberFormat="1">
      <alignment vertical="center" wrapText="1"/>
    </xf>
    <xf numFmtId="0" fontId="49" fillId="0" borderId="0" xfId="174" applyFont="1" applyNumberFormat="1">
      <alignment vertical="center" wrapText="1"/>
    </xf>
    <xf numFmtId="0" fontId="50" fillId="0" borderId="0" xfId="175" applyFont="1" applyNumberFormat="1">
      <alignment horizontal="center" vertical="center" wrapText="1"/>
    </xf>
    <xf numFmtId="0" fontId="51" fillId="0" borderId="0" xfId="176" applyFont="1" applyNumberFormat="1">
      <alignment vertical="center"/>
    </xf>
    <xf numFmtId="0" fontId="23" fillId="0" borderId="0" xfId="177" applyFont="1" applyNumberFormat="1">
      <alignment vertical="center"/>
    </xf>
    <xf numFmtId="0" fontId="27" fillId="0" borderId="27" xfId="178" applyFont="1" applyBorder="1" applyNumberFormat="1">
      <alignment horizontal="left" vertical="center" wrapText="1" indent="1"/>
    </xf>
    <xf numFmtId="0" fontId="27" fillId="0" borderId="32" xfId="179" applyFont="1" applyBorder="1" applyNumberFormat="1">
      <alignment horizontal="left" vertical="center" wrapText="1" indent="1"/>
    </xf>
    <xf numFmtId="0" fontId="27" fillId="0" borderId="33" xfId="180" applyFont="1" applyBorder="1" applyNumberFormat="1">
      <alignment horizontal="left" vertical="center" wrapText="1" indent="1"/>
    </xf>
    <xf numFmtId="0" fontId="27" fillId="0" borderId="34" xfId="181" applyFont="1" applyBorder="1" applyNumberFormat="1">
      <alignment horizontal="left" vertical="center" indent="1"/>
    </xf>
    <xf numFmtId="0" fontId="27" fillId="0" borderId="30" xfId="182" applyFont="1" applyBorder="1" applyNumberFormat="1">
      <alignment horizontal="left" vertical="center" indent="1"/>
    </xf>
    <xf numFmtId="0" fontId="27" fillId="0" borderId="35" xfId="183" applyFont="1" applyBorder="1" applyNumberFormat="1">
      <alignment horizontal="left" vertical="center" indent="1"/>
    </xf>
    <xf numFmtId="0" fontId="52" fillId="0" borderId="0" xfId="184" applyFont="1" applyNumberFormat="1">
      <alignment vertical="center"/>
    </xf>
    <xf numFmtId="0" fontId="23" fillId="0" borderId="0" xfId="185" applyFont="1" applyNumberFormat="1">
      <alignment horizontal="left" vertical="center" wrapText="1" indent="2"/>
    </xf>
    <xf numFmtId="0" fontId="27" fillId="42" borderId="0" xfId="186" applyFont="1" applyFill="1" applyNumberFormat="1">
      <alignment horizontal="center" vertical="center" wrapText="1"/>
    </xf>
    <xf numFmtId="0" fontId="53" fillId="0" borderId="33" xfId="187" applyFont="1" applyBorder="1" applyNumberFormat="1">
      <alignment horizontal="center" vertical="center" wrapText="1"/>
    </xf>
    <xf numFmtId="0" fontId="53" fillId="0" borderId="26" xfId="188" applyFont="1" applyBorder="1" applyNumberFormat="1">
      <alignment horizontal="center" vertical="center" wrapText="1"/>
    </xf>
    <xf numFmtId="0" fontId="53" fillId="0" borderId="23" xfId="189" applyFont="1" applyBorder="1" applyNumberFormat="1">
      <alignment horizontal="center" vertical="center" wrapText="1"/>
    </xf>
    <xf numFmtId="0" fontId="27" fillId="0" borderId="36" xfId="190" applyFont="1" applyBorder="1" applyNumberFormat="1">
      <alignment horizontal="center" vertical="center" wrapText="1"/>
    </xf>
    <xf numFmtId="0" fontId="27" fillId="0" borderId="37" xfId="191" applyFont="1" applyBorder="1" applyNumberFormat="1">
      <alignment horizontal="center" vertical="center" wrapText="1"/>
    </xf>
    <xf numFmtId="0" fontId="37" fillId="0" borderId="28" xfId="192" applyFont="1" applyBorder="1" applyNumberFormat="1">
      <alignment vertical="center"/>
    </xf>
    <xf numFmtId="0" fontId="27" fillId="41" borderId="21" xfId="198" applyFont="1" applyFill="1" applyBorder="1" applyNumberFormat="1">
      <alignment horizontal="center" vertical="center" wrapText="1"/>
    </xf>
    <xf numFmtId="0" fontId="23" fillId="41" borderId="20" xfId="202" applyFont="1" applyFill="1" applyBorder="1" applyNumberFormat="1">
      <alignment vertical="center"/>
    </xf>
    <xf numFmtId="0" fontId="27" fillId="40" borderId="32" xfId="204" applyFont="1" applyFill="1" applyBorder="1" applyNumberFormat="1">
      <alignment horizontal="left" vertical="center" wrapText="1" indent="2"/>
    </xf>
    <xf numFmtId="0" fontId="27" fillId="0" borderId="41" xfId="207" applyFont="1" applyBorder="1" applyNumberFormat="1">
      <alignment horizontal="center" vertical="center" wrapText="1"/>
    </xf>
    <xf numFmtId="0" fontId="27" fillId="40" borderId="32" xfId="208" applyFont="1" applyFill="1" applyBorder="1" applyNumberFormat="1">
      <alignment horizontal="left" vertical="center" wrapText="1" indent="1"/>
    </xf>
    <xf numFmtId="0" fontId="27" fillId="0" borderId="0" xfId="212" applyFont="1" applyNumberFormat="1">
      <alignment vertical="center"/>
    </xf>
    <xf numFmtId="0" fontId="37" fillId="0" borderId="0" xfId="213" applyFont="1" applyNumberFormat="1">
      <alignment vertical="center"/>
    </xf>
    <xf numFmtId="0" fontId="47" fillId="0" borderId="23" xfId="215" applyFont="1" applyBorder="1" applyNumberFormat="1">
      <alignment horizontal="center" vertical="center" wrapText="1"/>
    </xf>
    <xf numFmtId="0" fontId="27" fillId="40" borderId="42" xfId="217" applyFont="1" applyFill="1" applyBorder="1" applyNumberFormat="1">
      <alignment horizontal="left" vertical="center" wrapText="1" indent="2"/>
    </xf>
    <xf numFmtId="0" fontId="27" fillId="40" borderId="30" xfId="218" applyFont="1" applyFill="1" applyBorder="1" applyNumberFormat="1">
      <alignment horizontal="left" vertical="center" wrapText="1" indent="1"/>
    </xf>
    <xf numFmtId="0" fontId="27" fillId="40" borderId="30" xfId="220" applyFont="1" applyFill="1" applyBorder="1" applyNumberFormat="1">
      <alignment horizontal="left" vertical="center" wrapText="1" indent="2"/>
    </xf>
    <xf numFmtId="0" fontId="53" fillId="42" borderId="0" xfId="224" applyFont="1" applyFill="1" applyNumberFormat="1">
      <alignment vertical="top"/>
    </xf>
    <xf numFmtId="0" fontId="27" fillId="0" borderId="27" xfId="226" applyFont="1" applyBorder="1" applyNumberFormat="1">
      <alignment horizontal="left" vertical="top" wrapText="1" indent="1"/>
    </xf>
    <xf numFmtId="0" fontId="27" fillId="0" borderId="32" xfId="227" applyFont="1" applyBorder="1" applyNumberFormat="1">
      <alignment horizontal="left" vertical="top" wrapText="1" indent="1"/>
    </xf>
    <xf numFmtId="0" fontId="27" fillId="0" borderId="33" xfId="228" applyFont="1" applyBorder="1" applyNumberFormat="1">
      <alignment horizontal="left" vertical="top" wrapText="1" indent="1"/>
    </xf>
    <xf numFmtId="0" fontId="27" fillId="0" borderId="45" xfId="229" applyFont="1" applyBorder="1" applyNumberFormat="1">
      <alignment horizontal="left" vertical="center" indent="1"/>
    </xf>
    <xf numFmtId="0" fontId="55" fillId="0" borderId="29" xfId="230" applyFont="1" applyBorder="1" applyNumberFormat="1">
      <alignment horizontal="left" vertical="center" wrapText="1" indent="1"/>
    </xf>
    <xf numFmtId="0" fontId="55" fillId="0" borderId="42" xfId="231" applyFont="1" applyBorder="1" applyNumberFormat="1">
      <alignment horizontal="left" vertical="center" wrapText="1" indent="1"/>
    </xf>
    <xf numFmtId="0" fontId="55" fillId="0" borderId="28" xfId="232" applyFont="1" applyBorder="1" applyNumberFormat="1">
      <alignment horizontal="left" vertical="center" wrapText="1" indent="1"/>
    </xf>
    <xf numFmtId="0" fontId="56" fillId="0" borderId="0" xfId="233" applyFont="1" applyNumberFormat="1">
      <alignment vertical="center"/>
    </xf>
    <xf numFmtId="0" fontId="23" fillId="0" borderId="23" xfId="234" applyFont="1" applyBorder="1" applyNumberFormat="1">
      <alignment horizontal="center" vertical="center" wrapText="1"/>
    </xf>
    <xf numFmtId="0" fontId="44" fillId="0" borderId="23" xfId="237" applyFont="1" applyBorder="1" applyNumberFormat="1">
      <alignment horizontal="center" vertical="center"/>
    </xf>
    <xf numFmtId="0" fontId="23" fillId="0" borderId="23" xfId="238" applyFont="1" applyBorder="1" applyNumberFormat="1">
      <alignment horizontal="center" vertical="center"/>
    </xf>
    <xf numFmtId="0" fontId="23" fillId="0" borderId="23" xfId="241" applyFont="1" applyBorder="1" applyNumberFormat="1">
      <alignment horizontal="center" vertical="top"/>
    </xf>
    <xf numFmtId="0" fontId="27" fillId="0" borderId="23" xfId="242" applyFont="1" applyBorder="1" applyNumberFormat="1">
      <alignment horizontal="left" vertical="top" wrapText="1"/>
    </xf>
    <xf numFmtId="0" fontId="27" fillId="40" borderId="32" xfId="243" applyFont="1" applyFill="1" applyBorder="1" applyNumberFormat="1">
      <alignment horizontal="center" vertical="top" wrapText="1"/>
    </xf>
    <xf numFmtId="0" fontId="23" fillId="0" borderId="33" xfId="244" applyFont="1" applyBorder="1" applyNumberFormat="1">
      <alignment horizontal="center" vertical="center"/>
    </xf>
    <xf numFmtId="0" fontId="23" fillId="0" borderId="26" xfId="245" applyFont="1" applyBorder="1" applyNumberFormat="1">
      <alignment horizontal="center" vertical="center"/>
    </xf>
    <xf numFmtId="0" fontId="23" fillId="0" borderId="26" xfId="248" applyFont="1" applyBorder="1" applyNumberFormat="1">
      <alignment horizontal="left" vertical="center" wrapText="1"/>
    </xf>
    <xf numFmtId="0" fontId="27" fillId="0" borderId="0" xfId="251" applyFont="1" applyNumberFormat="1">
      <alignment horizontal="left" vertical="center" indent="1"/>
    </xf>
    <xf numFmtId="0" fontId="27" fillId="40" borderId="42" xfId="252" applyFont="1" applyFill="1" applyBorder="1" applyNumberFormat="1">
      <alignment horizontal="center" vertical="top" wrapText="1"/>
    </xf>
    <xf numFmtId="0" fontId="23" fillId="0" borderId="28" xfId="253" applyFont="1" applyBorder="1" applyNumberFormat="1">
      <alignment horizontal="center" vertical="center"/>
    </xf>
    <xf numFmtId="0" fontId="48" fillId="0" borderId="29" xfId="254" applyFont="1" applyBorder="1" applyNumberFormat="1">
      <alignment horizontal="left" vertical="center"/>
    </xf>
    <xf numFmtId="0" fontId="27" fillId="40" borderId="30" xfId="256" applyFont="1" applyFill="1" applyBorder="1" applyNumberFormat="1">
      <alignment horizontal="center" vertical="top" wrapText="1"/>
    </xf>
    <xf numFmtId="0" fontId="48" fillId="0" borderId="35" xfId="257" applyFont="1" applyBorder="1" applyNumberFormat="1">
      <alignment horizontal="left" vertical="center"/>
    </xf>
    <xf numFmtId="0" fontId="48" fillId="0" borderId="45" xfId="258" applyFont="1" applyBorder="1" applyNumberFormat="1">
      <alignment horizontal="left" vertical="center"/>
    </xf>
    <xf numFmtId="0" fontId="23" fillId="0" borderId="45" xfId="259" applyFont="1" applyBorder="1" applyNumberFormat="1">
      <alignment vertical="center"/>
    </xf>
    <xf numFmtId="0" fontId="48" fillId="0" borderId="34" xfId="260" applyFont="1" applyBorder="1" applyNumberFormat="1">
      <alignment horizontal="left" vertical="center"/>
    </xf>
    <xf numFmtId="0" fontId="27" fillId="38" borderId="23" xfId="261" applyFont="1" applyFill="1" applyBorder="1" applyNumberFormat="1">
      <alignment horizontal="left" vertical="top" wrapText="1"/>
      <protection locked="0"/>
    </xf>
    <xf numFmtId="0" fontId="23" fillId="38" borderId="23" xfId="263" applyFont="1" applyFill="1" applyBorder="1" applyNumberFormat="1">
      <alignment horizontal="left" vertical="top"/>
      <protection locked="0"/>
    </xf>
    <xf numFmtId="0" fontId="23" fillId="0" borderId="32" xfId="264" applyFont="1" applyBorder="1" applyNumberFormat="1">
      <alignment horizontal="center" vertical="top"/>
    </xf>
    <xf numFmtId="0" fontId="27" fillId="0" borderId="32" xfId="265" applyFont="1" applyBorder="1" applyNumberFormat="1">
      <alignment horizontal="left" vertical="top" wrapText="1"/>
    </xf>
    <xf numFmtId="0" fontId="23" fillId="0" borderId="42" xfId="266" applyFont="1" applyBorder="1" applyNumberFormat="1">
      <alignment horizontal="center" vertical="top"/>
    </xf>
    <xf numFmtId="0" fontId="27" fillId="0" borderId="42" xfId="267" applyFont="1" applyBorder="1" applyNumberFormat="1">
      <alignment horizontal="left" vertical="top" wrapText="1"/>
    </xf>
    <xf numFmtId="0" fontId="23" fillId="0" borderId="30" xfId="268" applyFont="1" applyBorder="1" applyNumberFormat="1">
      <alignment horizontal="center" vertical="top"/>
    </xf>
    <xf numFmtId="0" fontId="27" fillId="0" borderId="30" xfId="269" applyFont="1" applyBorder="1" applyNumberFormat="1">
      <alignment horizontal="left" vertical="top" wrapText="1"/>
    </xf>
    <xf numFmtId="0" fontId="23" fillId="0" borderId="0" xfId="270" applyFont="1" applyNumberFormat="1">
      <alignment horizontal="left" vertical="top" wrapText="1"/>
    </xf>
    <xf numFmtId="0" fontId="23" fillId="0" borderId="0" xfId="271" applyFont="1" applyNumberFormat="1" quotePrefix="1">
      <alignment horizontal="left" vertical="top" wrapText="1" indent="1"/>
    </xf>
    <xf numFmtId="0" fontId="27" fillId="0" borderId="26" xfId="275" applyFont="1" applyBorder="1" applyNumberFormat="1">
      <alignment horizontal="left" vertical="center" wrapText="1" indent="1"/>
    </xf>
    <xf numFmtId="0" fontId="27" fillId="0" borderId="45" xfId="276" applyFont="1" applyBorder="1" applyNumberFormat="1">
      <alignment horizontal="left" vertical="center" wrapText="1" indent="1"/>
    </xf>
    <xf numFmtId="0" fontId="27" fillId="0" borderId="33" xfId="277" applyFont="1" applyBorder="1" applyNumberFormat="1">
      <alignment horizontal="center" vertical="center" wrapText="1"/>
    </xf>
    <xf numFmtId="0" fontId="27" fillId="0" borderId="27" xfId="278" applyFont="1" applyBorder="1" applyNumberFormat="1">
      <alignment horizontal="center" vertical="center" wrapText="1"/>
    </xf>
    <xf numFmtId="0" fontId="27" fillId="0" borderId="42" xfId="279" applyFont="1" applyBorder="1" applyNumberFormat="1">
      <alignment horizontal="center" vertical="center" wrapText="1"/>
    </xf>
    <xf numFmtId="0" fontId="27" fillId="0" borderId="32" xfId="280" applyFont="1" applyBorder="1" applyNumberFormat="1">
      <alignment horizontal="center" vertical="center" wrapText="1"/>
    </xf>
    <xf numFmtId="0" fontId="27" fillId="0" borderId="28" xfId="281" applyFont="1" applyBorder="1" applyNumberFormat="1">
      <alignment horizontal="center" vertical="center" wrapText="1"/>
    </xf>
    <xf numFmtId="0" fontId="27" fillId="0" borderId="29" xfId="282" applyFont="1" applyBorder="1" applyNumberFormat="1">
      <alignment horizontal="center" vertical="center" wrapText="1"/>
    </xf>
    <xf numFmtId="0" fontId="27" fillId="0" borderId="35" xfId="283" applyFont="1" applyBorder="1" applyNumberFormat="1">
      <alignment horizontal="center" vertical="center" wrapText="1"/>
    </xf>
    <xf numFmtId="0" fontId="27" fillId="0" borderId="34" xfId="284" applyFont="1" applyBorder="1" applyNumberFormat="1">
      <alignment horizontal="center" vertical="center" wrapText="1"/>
    </xf>
    <xf numFmtId="0" fontId="27" fillId="0" borderId="23" xfId="287" applyFont="1" applyBorder="1" applyNumberFormat="1">
      <alignment horizontal="left" vertical="center" wrapText="1"/>
    </xf>
    <xf numFmtId="0" fontId="27" fillId="0" borderId="26" xfId="290" applyFont="1" applyBorder="1" applyNumberFormat="1">
      <alignment horizontal="center" vertical="center"/>
    </xf>
    <xf numFmtId="0" fontId="27" fillId="0" borderId="26" xfId="293" applyFont="1" applyBorder="1" applyNumberFormat="1">
      <alignment horizontal="left" vertical="center" wrapText="1"/>
    </xf>
    <xf numFmtId="0" fontId="48" fillId="0" borderId="28" xfId="296" applyFont="1" applyBorder="1" applyNumberFormat="1">
      <alignment horizontal="left" vertical="center"/>
    </xf>
    <xf numFmtId="0" fontId="27" fillId="0" borderId="32" xfId="298" applyFont="1" applyBorder="1" applyNumberFormat="1">
      <alignment horizontal="left" vertical="center" wrapText="1"/>
    </xf>
    <xf numFmtId="0" fontId="27" fillId="0" borderId="33" xfId="299" applyFont="1" applyBorder="1" applyNumberFormat="1">
      <alignment horizontal="left" vertical="center" wrapText="1"/>
    </xf>
    <xf numFmtId="0" fontId="27" fillId="0" borderId="21" xfId="303" applyFont="1" applyBorder="1" applyNumberFormat="1">
      <alignment horizontal="left" vertical="center" wrapText="1"/>
    </xf>
    <xf numFmtId="0" fontId="27" fillId="39" borderId="0" xfId="304" applyFont="1" applyFill="1" applyNumberFormat="1"/>
    <xf numFmtId="0" fontId="23" fillId="39" borderId="0" xfId="305" applyFont="1" applyFill="1" applyNumberFormat="1"/>
    <xf numFmtId="0" fontId="44" fillId="39" borderId="0" xfId="306" applyFont="1" applyFill="1" applyNumberFormat="1"/>
    <xf numFmtId="0" fontId="40" fillId="39" borderId="0" xfId="307" applyFont="1" applyFill="1" applyNumberFormat="1">
      <alignment horizontal="center"/>
    </xf>
    <xf numFmtId="0" fontId="40" fillId="39" borderId="0" xfId="308" applyFont="1" applyFill="1" applyNumberFormat="1"/>
    <xf numFmtId="0" fontId="57" fillId="39" borderId="0" xfId="309" applyFont="1" applyFill="1" applyNumberFormat="1">
      <alignment horizontal="right" vertical="center"/>
    </xf>
    <xf numFmtId="0" fontId="44" fillId="39" borderId="0" xfId="310" applyFont="1" applyFill="1" applyNumberFormat="1">
      <alignment vertical="center" wrapText="1"/>
    </xf>
    <xf numFmtId="0" fontId="35" fillId="39" borderId="0" xfId="311" applyFont="1" applyFill="1" applyNumberFormat="1">
      <alignment horizontal="left" vertical="center" wrapText="1"/>
    </xf>
    <xf numFmtId="0" fontId="23" fillId="39" borderId="23" xfId="314" applyFont="1" applyFill="1" applyBorder="1" applyNumberFormat="1">
      <alignment horizontal="center" vertical="center" wrapText="1"/>
    </xf>
    <xf numFmtId="0" fontId="27" fillId="39" borderId="23" xfId="315" applyFont="1" applyFill="1" applyBorder="1" applyNumberFormat="1">
      <alignment horizontal="center" vertical="center" wrapText="1"/>
    </xf>
    <xf numFmtId="0" fontId="47" fillId="39" borderId="0" xfId="316" applyFont="1" applyFill="1" applyNumberFormat="1">
      <alignment horizontal="center" vertical="center"/>
    </xf>
    <xf numFmtId="0" fontId="44" fillId="0" borderId="23" xfId="318" applyFont="1" applyBorder="1" applyNumberFormat="1">
      <alignment vertical="center" wrapText="1"/>
    </xf>
    <xf numFmtId="0" fontId="44" fillId="0" borderId="23" xfId="319" applyFont="1" applyBorder="1" applyNumberFormat="1">
      <alignment horizontal="left" vertical="center" wrapText="1"/>
    </xf>
    <xf numFmtId="0" fontId="58" fillId="39" borderId="0" xfId="320" applyFont="1" applyFill="1" applyNumberFormat="1"/>
    <xf numFmtId="0" fontId="23" fillId="39" borderId="23" xfId="322" applyFont="1" applyFill="1" applyBorder="1" applyNumberFormat="1">
      <alignment vertical="center" wrapText="1"/>
    </xf>
    <xf numFmtId="0" fontId="27" fillId="39" borderId="23" xfId="323" applyFont="1" applyFill="1" applyBorder="1" applyNumberFormat="1">
      <alignment vertical="center" wrapText="1"/>
    </xf>
    <xf numFmtId="0" fontId="23" fillId="39" borderId="23" xfId="324" applyFont="1" applyFill="1" applyBorder="1" applyNumberFormat="1">
      <alignment horizontal="left" vertical="center" wrapText="1" indent="1"/>
    </xf>
    <xf numFmtId="0" fontId="44" fillId="0" borderId="23" xfId="326" applyFont="1" applyBorder="1" applyNumberFormat="1">
      <alignment horizontal="left" vertical="center" wrapText="1" indent="1"/>
    </xf>
    <xf numFmtId="0" fontId="27" fillId="39" borderId="29" xfId="328" applyFont="1" applyFill="1" applyBorder="1" applyNumberFormat="1">
      <alignment horizontal="center" vertical="center" wrapText="1"/>
    </xf>
    <xf numFmtId="0" fontId="23" fillId="39" borderId="23" xfId="329" applyFont="1" applyFill="1" applyBorder="1" applyNumberFormat="1">
      <alignment horizontal="center" vertical="center"/>
    </xf>
    <xf numFmtId="0" fontId="23" fillId="39" borderId="23" xfId="330" applyFont="1" applyFill="1" applyBorder="1" applyNumberFormat="1">
      <alignment horizontal="left" vertical="center" wrapText="1" indent="2"/>
    </xf>
    <xf numFmtId="0" fontId="27" fillId="39" borderId="29" xfId="333" applyFont="1" applyFill="1" applyBorder="1" applyNumberFormat="1">
      <alignment vertical="center" wrapText="1"/>
    </xf>
    <xf numFmtId="0" fontId="27" fillId="41" borderId="21" xfId="334" applyFont="1" applyFill="1" applyBorder="1" applyNumberFormat="1">
      <alignment horizontal="center"/>
    </xf>
    <xf numFmtId="0" fontId="57" fillId="41" borderId="25" xfId="335" applyFont="1" applyFill="1" applyBorder="1" applyNumberFormat="1">
      <alignment horizontal="left" vertical="center"/>
    </xf>
    <xf numFmtId="0" fontId="57" fillId="41" borderId="20" xfId="336" applyFont="1" applyFill="1" applyBorder="1" applyNumberFormat="1">
      <alignment horizontal="left" vertical="center"/>
    </xf>
    <xf numFmtId="0" fontId="44" fillId="39" borderId="23" xfId="338" applyFont="1" applyFill="1" applyBorder="1" applyNumberFormat="1">
      <alignment vertical="center" wrapText="1"/>
    </xf>
    <xf numFmtId="0" fontId="44" fillId="39" borderId="23" xfId="339" applyFont="1" applyFill="1" applyBorder="1" applyNumberFormat="1">
      <alignment horizontal="left" vertical="center" wrapText="1" indent="1"/>
    </xf>
    <xf numFmtId="0" fontId="44" fillId="39" borderId="23" xfId="340" applyFont="1" applyFill="1" applyBorder="1" applyNumberFormat="1">
      <alignment horizontal="left" vertical="center" wrapText="1" indent="2"/>
    </xf>
    <xf numFmtId="0" fontId="23" fillId="39" borderId="23" xfId="342" applyFont="1" applyFill="1" applyBorder="1" applyNumberFormat="1">
      <alignment horizontal="left" vertical="center" wrapText="1"/>
    </xf>
    <xf numFmtId="0" fontId="23" fillId="39" borderId="32" xfId="344" applyFont="1" applyFill="1" applyBorder="1" applyNumberFormat="1">
      <alignment horizontal="left" vertical="center" wrapText="1"/>
    </xf>
    <xf numFmtId="0" fontId="27" fillId="39" borderId="32" xfId="345" applyFont="1" applyFill="1" applyBorder="1" applyNumberFormat="1">
      <alignment horizontal="left" vertical="top" wrapText="1"/>
    </xf>
    <xf numFmtId="0" fontId="27" fillId="39" borderId="42" xfId="347" applyFont="1" applyFill="1" applyBorder="1" applyNumberFormat="1">
      <alignment horizontal="left" vertical="top" wrapText="1"/>
    </xf>
    <xf numFmtId="0" fontId="50" fillId="39" borderId="0" xfId="348" applyFont="1" applyFill="1" applyNumberFormat="1">
      <alignment horizontal="center" vertical="center" wrapText="1"/>
    </xf>
    <xf numFmtId="0" fontId="27" fillId="39" borderId="30" xfId="351" applyFont="1" applyFill="1" applyBorder="1" applyNumberFormat="1">
      <alignment horizontal="left" vertical="top" wrapText="1"/>
    </xf>
    <xf numFmtId="0" fontId="59" fillId="39" borderId="0" xfId="352" applyFont="1" applyFill="1" applyNumberFormat="1"/>
    <xf numFmtId="0" fontId="23" fillId="39" borderId="21" xfId="356" applyFont="1" applyFill="1" applyBorder="1" applyNumberFormat="1">
      <alignment horizontal="left" vertical="center" wrapText="1" indent="1"/>
    </xf>
    <xf numFmtId="0" fontId="23" fillId="39" borderId="23" xfId="358" applyFont="1" applyFill="1" applyBorder="1" applyNumberFormat="1">
      <alignment vertical="top" wrapText="1"/>
    </xf>
    <xf numFmtId="0" fontId="23" fillId="39" borderId="21" xfId="359" applyFont="1" applyFill="1" applyBorder="1" applyNumberFormat="1">
      <alignment horizontal="left" vertical="center" wrapText="1"/>
    </xf>
    <xf numFmtId="0" fontId="23" fillId="39" borderId="30" xfId="360" applyFont="1" applyFill="1" applyBorder="1" applyNumberFormat="1">
      <alignment vertical="center" wrapText="1"/>
    </xf>
    <xf numFmtId="0" fontId="49" fillId="0" borderId="0" xfId="361" applyFont="1" applyNumberFormat="1">
      <alignment horizontal="left" vertical="top" wrapText="1" indent="1"/>
    </xf>
    <xf numFmtId="0" fontId="60" fillId="39" borderId="0" xfId="362" applyFont="1" applyFill="1" applyNumberFormat="1"/>
    <xf numFmtId="0" fontId="53" fillId="39" borderId="0" xfId="363" applyFont="1" applyFill="1" applyNumberFormat="1">
      <alignment horizontal="center"/>
    </xf>
    <xf numFmtId="0" fontId="53" fillId="39" borderId="0" xfId="364" applyFont="1" applyFill="1" applyNumberFormat="1"/>
    <xf numFmtId="0" fontId="61" fillId="39" borderId="0" xfId="365" applyFont="1" applyFill="1" applyNumberFormat="1">
      <alignment horizontal="right" vertical="center"/>
    </xf>
    <xf numFmtId="0" fontId="62" fillId="39" borderId="0" xfId="366" applyFont="1" applyFill="1" applyNumberFormat="1">
      <alignment vertical="center"/>
    </xf>
    <xf numFmtId="0" fontId="61" fillId="39" borderId="0" xfId="367" applyFont="1" applyFill="1" applyNumberFormat="1">
      <alignment horizontal="right" vertical="top"/>
    </xf>
    <xf numFmtId="0" fontId="62" fillId="39" borderId="0" xfId="368" applyFont="1" applyFill="1" applyNumberFormat="1">
      <alignment vertical="center" wrapText="1"/>
    </xf>
    <xf numFmtId="0" fontId="23" fillId="39" borderId="0" xfId="369" applyFont="1" applyFill="1" applyNumberFormat="1">
      <alignment horizontal="center"/>
    </xf>
    <xf numFmtId="0" fontId="37" fillId="0" borderId="0" xfId="370" applyFont="1" applyNumberFormat="1">
      <alignment horizontal="center" vertical="center" wrapText="1"/>
    </xf>
    <xf numFmtId="0" fontId="63" fillId="39" borderId="0" xfId="371" applyFont="1" applyFill="1" applyNumberFormat="1">
      <alignment horizontal="center" vertical="center" wrapText="1"/>
    </xf>
    <xf numFmtId="0" fontId="63" fillId="39" borderId="0" xfId="372" applyFont="1" applyFill="1" applyNumberFormat="1">
      <alignment horizontal="right" vertical="center" wrapText="1"/>
    </xf>
    <xf numFmtId="0" fontId="63" fillId="0" borderId="0" xfId="373" applyFont="1" applyNumberFormat="1">
      <alignment vertical="center" wrapText="1"/>
    </xf>
    <xf numFmtId="0" fontId="27" fillId="0" borderId="34" xfId="374" applyFont="1" applyBorder="1" applyNumberFormat="1">
      <alignment horizontal="left" vertical="center" wrapText="1" indent="1"/>
    </xf>
    <xf numFmtId="0" fontId="27" fillId="0" borderId="30" xfId="375" applyFont="1" applyBorder="1" applyNumberFormat="1">
      <alignment horizontal="left" vertical="center" wrapText="1" indent="1"/>
    </xf>
    <xf numFmtId="0" fontId="27" fillId="0" borderId="35" xfId="376" applyFont="1" applyBorder="1" applyNumberFormat="1">
      <alignment horizontal="left" vertical="center" wrapText="1" indent="1"/>
    </xf>
    <xf numFmtId="0" fontId="64" fillId="39" borderId="0" xfId="377" applyFont="1" applyFill="1" applyNumberFormat="1">
      <alignment horizontal="center" vertical="center" wrapText="1"/>
    </xf>
    <xf numFmtId="0" fontId="23" fillId="0" borderId="21" xfId="378" applyFont="1" applyBorder="1" applyNumberFormat="1">
      <alignment horizontal="center" vertical="center" wrapText="1"/>
    </xf>
    <xf numFmtId="0" fontId="23" fillId="0" borderId="25" xfId="379" applyFont="1" applyBorder="1" applyNumberFormat="1">
      <alignment horizontal="center" vertical="center" wrapText="1"/>
    </xf>
    <xf numFmtId="0" fontId="23" fillId="0" borderId="20" xfId="380" applyFont="1" applyBorder="1" applyNumberFormat="1">
      <alignment horizontal="center" vertical="center" wrapText="1"/>
    </xf>
    <xf numFmtId="0" fontId="23" fillId="0" borderId="32" xfId="381" applyFont="1" applyBorder="1" applyNumberFormat="1">
      <alignment horizontal="center" vertical="center" wrapText="1"/>
    </xf>
    <xf numFmtId="0" fontId="23" fillId="0" borderId="33" xfId="382" applyFont="1" applyBorder="1" applyNumberFormat="1">
      <alignment horizontal="center" vertical="center" wrapText="1"/>
    </xf>
    <xf numFmtId="0" fontId="23" fillId="0" borderId="27" xfId="383" applyFont="1" applyBorder="1" applyNumberFormat="1">
      <alignment horizontal="center" vertical="center" wrapText="1"/>
    </xf>
    <xf numFmtId="0" fontId="23" fillId="0" borderId="30" xfId="384" applyFont="1" applyBorder="1" applyNumberFormat="1">
      <alignment horizontal="center" vertical="center" wrapText="1"/>
    </xf>
    <xf numFmtId="0" fontId="23" fillId="0" borderId="35" xfId="385" applyFont="1" applyBorder="1" applyNumberFormat="1">
      <alignment horizontal="center" vertical="center" wrapText="1"/>
    </xf>
    <xf numFmtId="0" fontId="23" fillId="0" borderId="34" xfId="386" applyFont="1" applyBorder="1" applyNumberFormat="1">
      <alignment horizontal="center" vertical="center" wrapText="1"/>
    </xf>
    <xf numFmtId="0" fontId="47" fillId="39" borderId="0" xfId="387" applyFont="1" applyFill="1" applyNumberFormat="1">
      <alignment horizontal="center" vertical="center" wrapText="1"/>
    </xf>
    <xf numFmtId="0" fontId="65" fillId="39" borderId="0" xfId="389" applyFont="1" applyFill="1" applyNumberFormat="1">
      <alignment horizontal="center" vertical="center" wrapText="1"/>
    </xf>
    <xf numFmtId="0" fontId="55" fillId="0" borderId="0" xfId="393" applyFont="1" applyNumberFormat="1">
      <alignment vertical="center" wrapText="1"/>
    </xf>
    <xf numFmtId="0" fontId="27" fillId="40" borderId="21" xfId="395" applyFont="1" applyFill="1" applyBorder="1" applyNumberFormat="1">
      <alignment horizontal="left" vertical="center" wrapText="1"/>
    </xf>
    <xf numFmtId="0" fontId="23" fillId="35" borderId="23" xfId="400" applyFont="1" applyFill="1" applyBorder="1" applyNumberFormat="1">
      <alignment horizontal="right" vertical="center" wrapText="1"/>
      <protection locked="0"/>
    </xf>
    <xf numFmtId="0" fontId="23" fillId="0" borderId="32" xfId="402" applyFont="1" applyBorder="1" applyNumberFormat="1">
      <alignment horizontal="left" vertical="top" wrapText="1"/>
    </xf>
    <xf numFmtId="0" fontId="48" fillId="41" borderId="25" xfId="404" applyFont="1" applyFill="1" applyBorder="1" applyNumberFormat="1">
      <alignment vertical="center"/>
    </xf>
    <xf numFmtId="0" fontId="23" fillId="0" borderId="30" xfId="408" applyFont="1" applyBorder="1" applyNumberFormat="1">
      <alignment horizontal="left" vertical="top" wrapText="1"/>
    </xf>
    <xf numFmtId="0" fontId="27" fillId="40" borderId="26" xfId="410" applyFont="1" applyFill="1" applyBorder="1" applyNumberFormat="1">
      <alignment horizontal="left" vertical="center" wrapText="1"/>
    </xf>
    <xf numFmtId="0" fontId="50" fillId="39" borderId="23" xfId="411" applyFont="1" applyFill="1" applyBorder="1" applyNumberFormat="1">
      <alignment horizontal="center" vertical="center" wrapText="1"/>
    </xf>
    <xf numFmtId="0" fontId="27" fillId="40" borderId="45" xfId="415" applyFont="1" applyFill="1" applyBorder="1" applyNumberFormat="1">
      <alignment horizontal="left" vertical="center" wrapText="1"/>
    </xf>
    <xf numFmtId="0" fontId="27" fillId="0" borderId="26" xfId="416" applyFont="1" applyBorder="1" applyNumberFormat="1">
      <alignment horizontal="left" vertical="top" wrapText="1" indent="1"/>
    </xf>
    <xf numFmtId="0" fontId="29" fillId="39" borderId="0" xfId="417" applyFont="1" applyFill="1" applyNumberFormat="1">
      <alignment horizontal="right" vertical="center"/>
    </xf>
    <xf numFmtId="0" fontId="29" fillId="39" borderId="0" xfId="418" applyFont="1" applyFill="1" applyNumberFormat="1">
      <alignment horizontal="right" vertical="center" wrapText="1"/>
    </xf>
    <xf numFmtId="0" fontId="50" fillId="39" borderId="29" xfId="421" applyFont="1" applyFill="1" applyBorder="1" applyNumberFormat="1">
      <alignment vertical="top" wrapText="1"/>
    </xf>
    <xf numFmtId="0" fontId="23" fillId="0" borderId="42" xfId="425" applyFont="1" applyBorder="1" applyNumberFormat="1">
      <alignment horizontal="left" vertical="top" wrapText="1"/>
    </xf>
    <xf numFmtId="0" fontId="50" fillId="39" borderId="0" xfId="426" applyFont="1" applyFill="1" applyNumberFormat="1">
      <alignment vertical="top" wrapText="1"/>
    </xf>
    <xf numFmtId="0" fontId="44" fillId="39" borderId="30" xfId="427" applyFont="1" applyFill="1" applyBorder="1" applyNumberFormat="1">
      <alignment horizontal="center" vertical="center" wrapText="1"/>
    </xf>
    <xf numFmtId="0" fontId="44" fillId="0" borderId="0" xfId="431" applyFont="1" applyNumberFormat="1">
      <alignment horizontal="left" vertical="center" wrapText="1"/>
    </xf>
    <xf numFmtId="0" fontId="49" fillId="0" borderId="0" xfId="436" applyFont="1" applyNumberFormat="1">
      <alignment vertical="top"/>
    </xf>
    <xf numFmtId="0" fontId="33" fillId="0" borderId="23" xfId="441" applyFont="1" applyBorder="1" applyNumberFormat="1">
      <alignment vertical="top" wrapText="1"/>
    </xf>
    <xf numFmtId="0" fontId="66" fillId="0" borderId="23" xfId="444" applyFont="1" applyBorder="1" applyNumberFormat="1">
      <alignment vertical="top" wrapText="1"/>
    </xf>
    <xf numFmtId="0" fontId="33" fillId="43" borderId="23" xfId="449" applyFont="1" applyFill="1" applyBorder="1" applyNumberFormat="1">
      <alignment horizontal="center" vertical="top" wrapText="1"/>
    </xf>
    <xf numFmtId="0" fontId="66" fillId="43" borderId="23" xfId="450" applyFont="1" applyFill="1" applyBorder="1" applyNumberFormat="1">
      <alignment horizontal="right" vertical="center" wrapText="1"/>
    </xf>
    <xf numFmtId="0" fontId="66" fillId="0" borderId="23" xfId="454" applyFont="1" applyBorder="1" applyNumberFormat="1">
      <alignment horizontal="left" vertical="top" wrapText="1"/>
    </xf>
    <xf numFmtId="0" fontId="66" fillId="43" borderId="23" xfId="456" applyFont="1" applyFill="1" applyBorder="1" applyNumberFormat="1">
      <alignment horizontal="center" vertical="center" wrapText="1"/>
    </xf>
    <xf numFmtId="0" fontId="66" fillId="0" borderId="32" xfId="459" applyFont="1" applyBorder="1" applyNumberFormat="1">
      <alignment horizontal="left" vertical="top" wrapText="1"/>
    </xf>
    <xf numFmtId="0" fontId="66" fillId="0" borderId="20" xfId="461" applyFont="1" applyBorder="1" applyNumberFormat="1">
      <alignment horizontal="left" vertical="top" wrapText="1"/>
    </xf>
    <xf numFmtId="0" fontId="66" fillId="0" borderId="32" xfId="465" applyFont="1" applyBorder="1" applyNumberFormat="1">
      <alignment vertical="top" wrapText="1"/>
    </xf>
    <xf numFmtId="0" fontId="33" fillId="0" borderId="21" xfId="467" applyFont="1" applyBorder="1" applyNumberFormat="1">
      <alignment horizontal="center" vertical="center" wrapText="1"/>
    </xf>
    <xf numFmtId="0" fontId="33" fillId="0" borderId="21" xfId="468" applyFont="1" applyBorder="1" applyNumberFormat="1">
      <alignment horizontal="center" vertical="center"/>
    </xf>
    <xf numFmtId="0" fontId="33" fillId="0" borderId="23" xfId="470" applyFont="1" applyBorder="1" applyNumberFormat="1">
      <alignment vertical="center" wrapText="1"/>
    </xf>
    <xf numFmtId="0" fontId="33" fillId="0" borderId="23" xfId="472" applyFont="1" applyBorder="1" applyNumberFormat="1">
      <alignment horizontal="center" vertical="center" wrapText="1"/>
    </xf>
    <xf numFmtId="0" fontId="33" fillId="0" borderId="32" xfId="473" applyFont="1" applyBorder="1" applyNumberFormat="1">
      <alignment vertical="center" wrapText="1"/>
    </xf>
    <xf numFmtId="0" fontId="33" fillId="0" borderId="30" xfId="474" applyFont="1" applyBorder="1" applyNumberFormat="1">
      <alignment vertical="center" wrapText="1"/>
    </xf>
    <xf numFmtId="0" fontId="33" fillId="0" borderId="32" xfId="479" applyFont="1" applyBorder="1" applyNumberFormat="1">
      <alignment horizontal="center" vertical="center" wrapText="1"/>
    </xf>
    <xf numFmtId="0" fontId="66" fillId="0" borderId="42" xfId="481" applyFont="1" applyBorder="1" applyNumberFormat="1">
      <alignment horizontal="left" vertical="top" wrapText="1"/>
    </xf>
    <xf numFmtId="0" fontId="23" fillId="45" borderId="23" xfId="485" applyFont="1" applyFill="1" applyBorder="1" applyNumberFormat="1">
      <alignment horizontal="center" vertical="center"/>
    </xf>
    <xf numFmtId="0" fontId="27" fillId="0" borderId="23" xfId="489" applyFont="1" applyBorder="1" applyNumberFormat="1">
      <alignment vertical="center"/>
    </xf>
    <xf numFmtId="0" fontId="23" fillId="0" borderId="23" xfId="490" applyFont="1" applyBorder="1" applyNumberFormat="1">
      <alignment vertical="center"/>
    </xf>
    <xf numFmtId="0" fontId="23" fillId="0" borderId="21" xfId="491" applyFont="1" applyBorder="1" applyNumberFormat="1">
      <alignment vertical="center"/>
    </xf>
    <xf numFmtId="0" fontId="27" fillId="0" borderId="21" xfId="492" applyFont="1" applyBorder="1" applyNumberFormat="1">
      <alignment horizontal="left" vertical="center"/>
    </xf>
    <xf numFmtId="0" fontId="23" fillId="0" borderId="20" xfId="496" applyFont="1" applyBorder="1" applyNumberFormat="1">
      <alignment vertical="center"/>
    </xf>
    <xf numFmtId="0" fontId="23" fillId="0" borderId="23" xfId="497" applyFont="1" applyBorder="1" applyNumberFormat="1">
      <alignment horizontal="right" vertical="top"/>
    </xf>
    <xf numFmtId="0" fontId="23" fillId="0" borderId="23" xfId="498" applyFont="1" applyBorder="1" applyNumberFormat="1">
      <alignment vertical="top"/>
    </xf>
    <xf numFmtId="0" fontId="27" fillId="0" borderId="20" xfId="499" applyFont="1" applyBorder="1" applyNumberFormat="1">
      <alignment vertical="center"/>
    </xf>
    <xf numFmtId="0" fontId="23" fillId="0" borderId="0" xfId="501" applyFont="1" applyNumberFormat="1">
      <alignment vertical="top"/>
    </xf>
    <xf numFmtId="0" fontId="27" fillId="0" borderId="23" xfId="502" applyFont="1" applyBorder="1" applyNumberFormat="1">
      <alignment vertical="top"/>
    </xf>
    <xf numFmtId="0" fontId="23" fillId="48" borderId="0" xfId="503" applyFont="1" applyFill="1" applyNumberFormat="1">
      <alignment horizontal="right" vertical="center"/>
    </xf>
    <xf numFmtId="0" fontId="23" fillId="48" borderId="0" xfId="504" applyFont="1" applyFill="1" applyNumberFormat="1">
      <alignment horizontal="left" vertical="center"/>
    </xf>
    <xf numFmtId="0" fontId="23" fillId="0" borderId="0" xfId="505" applyFont="1" applyNumberFormat="1">
      <alignment horizontal="right" vertical="top"/>
    </xf>
    <xf numFmtId="0" fontId="67" fillId="48" borderId="0" xfId="507" applyFont="1" applyFill="1" applyNumberFormat="1">
      <alignment horizontal="left" vertical="center"/>
    </xf>
    <xf numFmtId="0" fontId="23" fillId="0" borderId="21" xfId="510" applyFont="1" applyBorder="1" applyNumberFormat="1">
      <alignment horizontal="left" vertical="center"/>
    </xf>
    <xf numFmtId="0" fontId="23" fillId="0" borderId="32" xfId="512" applyFont="1" applyBorder="1" applyNumberFormat="1">
      <alignment vertical="top"/>
    </xf>
    <xf numFmtId="0" fontId="27" fillId="0" borderId="32" xfId="513" applyFont="1" applyBorder="1" applyNumberFormat="1">
      <alignment vertical="center"/>
    </xf>
    <xf numFmtId="0" fontId="27" fillId="48" borderId="0" xfId="517" applyFont="1" applyFill="1" applyNumberFormat="1">
      <alignment horizontal="left" vertical="center"/>
    </xf>
    <xf numFmtId="0" fontId="23" fillId="48" borderId="50" xfId="518" applyFont="1" applyFill="1" applyBorder="1" applyNumberFormat="1">
      <alignment horizontal="center"/>
    </xf>
    <xf numFmtId="0" fontId="23" fillId="0" borderId="50" xfId="521" applyFont="1" applyBorder="1" applyNumberFormat="1">
      <alignment horizontal="center"/>
    </xf>
    <xf numFmtId="0" fontId="47" fillId="0" borderId="0" xfId="524" applyFont="1" applyNumberFormat="1">
      <alignment horizontal="center" vertical="center" wrapText="1"/>
    </xf>
    <xf numFmtId="0" fontId="23" fillId="37" borderId="49" xfId="527" applyFont="1" applyFill="1" applyBorder="1" applyNumberFormat="1">
      <alignment horizontal="center" vertical="center"/>
    </xf>
    <xf numFmtId="0" fontId="20" fillId="0" borderId="51" xfId="529" applyFont="1" applyBorder="1" applyNumberFormat="1">
      <alignment horizontal="center" vertical="center"/>
    </xf>
    <xf numFmtId="0" fontId="23" fillId="0" borderId="51" xfId="530" applyFont="1" applyBorder="1" applyNumberFormat="1">
      <alignment horizontal="center" vertical="center"/>
    </xf>
    <xf numFmtId="0" fontId="23" fillId="43" borderId="23" xfId="533" applyFont="1" applyFill="1" applyBorder="1" applyNumberFormat="1">
      <alignment horizontal="right" vertical="center"/>
    </xf>
    <xf numFmtId="0" fontId="27" fillId="0" borderId="0" xfId="536" applyFont="1" applyNumberFormat="1">
      <alignment vertical="top"/>
    </xf>
    <xf numFmtId="0" fontId="27" fillId="37" borderId="35" xfId="539" applyFont="1" applyFill="1" applyBorder="1" applyNumberFormat="1">
      <alignment horizontal="center" vertical="top"/>
    </xf>
    <xf numFmtId="0" fontId="27" fillId="37" borderId="35" xfId="540" applyFont="1" applyFill="1" applyBorder="1" applyNumberFormat="1">
      <alignment horizontal="left" vertical="top"/>
    </xf>
    <xf numFmtId="0" fontId="23" fillId="0" borderId="52" xfId="541" applyFont="1" applyBorder="1" applyNumberFormat="1">
      <alignment horizontal="center" vertical="center"/>
    </xf>
    <xf numFmtId="0" fontId="23" fillId="0" borderId="53" xfId="542" applyFont="1" applyBorder="1" applyNumberFormat="1">
      <alignment horizontal="center" vertical="center"/>
    </xf>
    <xf numFmtId="0" fontId="27" fillId="0" borderId="23" xfId="543" applyFont="1" applyBorder="1" applyNumberFormat="1">
      <alignment horizontal="left" vertical="top"/>
    </xf>
    <xf numFmtId="0" fontId="23" fillId="0" borderId="54" xfId="544" applyFont="1" applyBorder="1" applyNumberFormat="1">
      <alignment horizontal="center" vertical="center"/>
    </xf>
    <xf numFmtId="0" fontId="23" fillId="48" borderId="0" xfId="547" applyFont="1" applyFill="1" applyNumberFormat="1">
      <alignment horizontal="right" vertical="top" wrapText="1"/>
    </xf>
    <xf numFmtId="0" fontId="27" fillId="0" borderId="0" xfId="548" applyFont="1" applyNumberFormat="1">
      <alignment horizontal="left" vertical="top" wrapText="1"/>
    </xf>
    <xf numFmtId="0" fontId="27" fillId="39" borderId="23" xfId="550" applyFont="1" applyFill="1" applyBorder="1" applyNumberFormat="1">
      <alignment horizontal="center" vertical="center"/>
    </xf>
    <xf numFmtId="0" fontId="50" fillId="39" borderId="0" xfId="551" applyFont="1" applyFill="1" applyNumberFormat="1">
      <alignment horizontal="center"/>
    </xf>
    <xf numFmtId="0" fontId="47" fillId="0" borderId="0" xfId="552" applyFont="1" applyNumberFormat="1">
      <alignment vertical="top" wrapText="1"/>
    </xf>
    <xf numFmtId="0" fontId="37" fillId="0" borderId="30" xfId="553" applyFont="1" applyBorder="1" applyNumberFormat="1">
      <alignment horizontal="center" vertical="center" wrapText="1"/>
    </xf>
    <xf numFmtId="0" fontId="37" fillId="0" borderId="23" xfId="554" applyFont="1" applyBorder="1" applyNumberFormat="1">
      <alignment horizontal="center" vertical="center" wrapText="1"/>
    </xf>
    <xf numFmtId="0" fontId="47" fillId="0" borderId="29" xfId="558" applyFont="1" applyBorder="1" applyNumberFormat="1">
      <alignment horizontal="center" vertical="center" wrapText="1"/>
    </xf>
    <xf numFmtId="0" fontId="53" fillId="0" borderId="23" xfId="560" applyFont="1" applyBorder="1" applyNumberFormat="1">
      <alignment horizontal="left" vertical="center" wrapText="1" indent="1"/>
    </xf>
    <xf numFmtId="0" fontId="54" fillId="0" borderId="32" xfId="561" applyFont="1" applyBorder="1" applyNumberFormat="1">
      <alignment horizontal="center" vertical="center" wrapText="1"/>
    </xf>
    <xf numFmtId="0" fontId="53" fillId="0" borderId="23" xfId="564" applyFont="1" applyBorder="1" applyNumberFormat="1">
      <alignment horizontal="left" vertical="top" indent="1"/>
    </xf>
    <xf numFmtId="0" fontId="27" fillId="39" borderId="0" xfId="565" applyFont="1" applyFill="1" applyNumberFormat="1">
      <alignment horizontal="center" vertical="top" wrapText="1"/>
    </xf>
    <xf numFmtId="0" fontId="27" fillId="39" borderId="21" xfId="566" applyFont="1" applyFill="1" applyBorder="1" applyNumberFormat="1">
      <alignment horizontal="center" vertical="center" wrapText="1"/>
    </xf>
    <xf numFmtId="0" fontId="44" fillId="39" borderId="23" xfId="567" applyFont="1" applyFill="1" applyBorder="1" applyNumberFormat="1">
      <alignment horizontal="center" vertical="center" wrapText="1"/>
    </xf>
    <xf numFmtId="0" fontId="70" fillId="39" borderId="0" xfId="573" applyFont="1" applyFill="1" applyNumberFormat="1">
      <alignment vertical="center" wrapText="1"/>
    </xf>
    <xf numFmtId="0" fontId="23" fillId="38" borderId="21" xfId="574" applyFont="1" applyFill="1" applyBorder="1" applyNumberFormat="1">
      <alignment horizontal="left" vertical="center" wrapText="1" indent="2"/>
      <protection locked="0"/>
    </xf>
    <xf numFmtId="0" fontId="50" fillId="0" borderId="29" xfId="575" applyFont="1" applyBorder="1" applyNumberFormat="1">
      <alignment horizontal="center" vertical="center" wrapText="1"/>
    </xf>
    <xf numFmtId="0" fontId="23" fillId="37" borderId="23" xfId="577" applyFont="1" applyFill="1" applyBorder="1" applyNumberFormat="1">
      <alignment horizontal="left" vertical="top" wrapText="1" indent="1"/>
    </xf>
    <xf numFmtId="0" fontId="27" fillId="37" borderId="23" xfId="584" applyFont="1" applyFill="1" applyBorder="1" applyNumberFormat="1">
      <alignment horizontal="center" vertical="top" wrapText="1"/>
    </xf>
    <xf numFmtId="0" fontId="27" fillId="35" borderId="23" xfId="585" applyFont="1" applyFill="1" applyBorder="1" applyNumberFormat="1">
      <alignment horizontal="left" vertical="top" wrapText="1"/>
      <protection locked="0"/>
    </xf>
    <xf numFmtId="0" fontId="27" fillId="0" borderId="29" xfId="588" applyFont="1" applyBorder="1" applyNumberFormat="1">
      <alignment vertical="top" wrapText="1"/>
    </xf>
    <xf numFmtId="0" fontId="27" fillId="41" borderId="21" xfId="593" applyFont="1" applyFill="1" applyBorder="1" applyNumberFormat="1">
      <alignment vertical="center" wrapText="1"/>
    </xf>
    <xf numFmtId="0" fontId="27" fillId="41" borderId="25" xfId="594" applyFont="1" applyFill="1" applyBorder="1" applyNumberFormat="1">
      <alignment vertical="center" wrapText="1"/>
    </xf>
    <xf numFmtId="0" fontId="23" fillId="37" borderId="42" xfId="596" applyFont="1" applyFill="1" applyBorder="1" applyNumberFormat="1">
      <alignment horizontal="left" vertical="top" wrapText="1" indent="1"/>
    </xf>
    <xf numFmtId="0" fontId="27" fillId="37" borderId="42" xfId="603" applyFont="1" applyFill="1" applyBorder="1" applyNumberFormat="1">
      <alignment horizontal="center" vertical="top" wrapText="1"/>
    </xf>
    <xf numFmtId="0" fontId="27" fillId="35" borderId="42" xfId="604" applyFont="1" applyFill="1" applyBorder="1" applyNumberFormat="1">
      <alignment horizontal="left" vertical="top" wrapText="1"/>
      <protection locked="0"/>
    </xf>
    <xf numFmtId="0" fontId="71" fillId="0" borderId="55" xfId="605" applyFont="1" applyBorder="1" applyNumberFormat="1">
      <alignment horizontal="left" vertical="center" indent="1"/>
    </xf>
    <xf numFmtId="0" fontId="71" fillId="0" borderId="56" xfId="606" applyFont="1" applyBorder="1" applyNumberFormat="1">
      <alignment horizontal="left" vertical="center" indent="1"/>
    </xf>
    <xf numFmtId="0" fontId="23" fillId="0" borderId="56" xfId="607" applyFont="1" applyBorder="1" applyNumberFormat="1">
      <alignment horizontal="left" vertical="center" wrapText="1"/>
    </xf>
    <xf numFmtId="0" fontId="27" fillId="0" borderId="56" xfId="608" applyFont="1" applyBorder="1" applyNumberFormat="1">
      <alignment vertical="center" wrapText="1"/>
    </xf>
    <xf numFmtId="0" fontId="27" fillId="0" borderId="57" xfId="609" applyFont="1" applyBorder="1" applyNumberFormat="1">
      <alignment vertical="center" wrapText="1"/>
    </xf>
    <xf numFmtId="0" fontId="27" fillId="0" borderId="58" xfId="610" applyFont="1" applyBorder="1" applyNumberFormat="1">
      <alignment vertical="center" wrapText="1"/>
    </xf>
    <xf numFmtId="0" fontId="27" fillId="0" borderId="28" xfId="611" applyFont="1" applyBorder="1" applyNumberFormat="1">
      <alignment vertical="center" wrapText="1"/>
    </xf>
    <xf numFmtId="0" fontId="72" fillId="0" borderId="23" xfId="620" applyFont="1" applyBorder="1" applyNumberFormat="1">
      <alignment horizontal="center" vertical="center"/>
    </xf>
    <xf numFmtId="0" fontId="72" fillId="0" borderId="23" xfId="627" applyFont="1" applyBorder="1" applyNumberFormat="1">
      <alignment horizontal="left" vertical="center" wrapText="1" indent="1"/>
    </xf>
    <xf numFmtId="0" fontId="23" fillId="41" borderId="61" xfId="634" applyFont="1" applyFill="1" applyBorder="1" applyNumberFormat="1">
      <alignment horizontal="left" vertical="center"/>
    </xf>
    <xf numFmtId="0" fontId="27" fillId="41" borderId="61" xfId="636" applyFont="1" applyFill="1" applyBorder="1" applyNumberFormat="1">
      <alignment vertical="center" wrapText="1"/>
    </xf>
    <xf numFmtId="0" fontId="27" fillId="41" borderId="62" xfId="637" applyFont="1" applyFill="1" applyBorder="1" applyNumberFormat="1">
      <alignment vertical="center" wrapText="1"/>
    </xf>
    <xf numFmtId="0" fontId="49" fillId="0" borderId="23" xfId="643" applyFont="1" applyBorder="1" applyNumberFormat="1">
      <alignment horizontal="center" vertical="center"/>
    </xf>
    <xf numFmtId="0" fontId="49" fillId="40" borderId="23" xfId="654" applyFont="1" applyFill="1" applyBorder="1" applyNumberFormat="1">
      <alignment horizontal="left" vertical="center" wrapText="1" indent="1"/>
    </xf>
    <xf numFmtId="0" fontId="49" fillId="0" borderId="20" xfId="661" applyFont="1" applyBorder="1" applyNumberFormat="1">
      <alignment horizontal="center" vertical="center"/>
    </xf>
    <xf numFmtId="0" fontId="71" fillId="0" borderId="63" xfId="672" applyFont="1" applyBorder="1" applyNumberFormat="1">
      <alignment horizontal="left" vertical="center" indent="1"/>
    </xf>
    <xf numFmtId="0" fontId="27" fillId="0" borderId="64" xfId="674" applyFont="1" applyBorder="1" applyNumberFormat="1">
      <alignment horizontal="right" vertical="center"/>
    </xf>
    <xf numFmtId="0" fontId="27" fillId="0" borderId="64" xfId="675" applyFont="1" applyBorder="1" applyNumberFormat="1">
      <alignment horizontal="center" vertical="center"/>
    </xf>
    <xf numFmtId="0" fontId="27" fillId="0" borderId="25" xfId="676" applyFont="1" applyBorder="1" applyNumberFormat="1">
      <alignment horizontal="right" vertical="center"/>
    </xf>
    <xf numFmtId="0" fontId="27" fillId="0" borderId="20" xfId="677" applyFont="1" applyBorder="1" applyNumberFormat="1">
      <alignment horizontal="right" vertical="center"/>
    </xf>
    <xf numFmtId="0" fontId="27" fillId="0" borderId="23" xfId="678" applyFont="1" applyBorder="1" applyNumberFormat="1">
      <alignment horizontal="right" vertical="center"/>
    </xf>
    <xf numFmtId="0" fontId="27" fillId="43" borderId="23" xfId="680" applyFont="1" applyFill="1" applyBorder="1" applyNumberFormat="1">
      <alignment horizontal="right" vertical="center"/>
    </xf>
    <xf numFmtId="0" fontId="23" fillId="0" borderId="21" xfId="684" applyFont="1" applyBorder="1" applyNumberFormat="1">
      <alignment horizontal="right" vertical="center" wrapText="1" indent="1"/>
    </xf>
    <xf numFmtId="0" fontId="23" fillId="0" borderId="25" xfId="685" applyFont="1" applyBorder="1" applyNumberFormat="1">
      <alignment horizontal="right" vertical="center" wrapText="1" indent="1"/>
    </xf>
    <xf numFmtId="0" fontId="23" fillId="0" borderId="20" xfId="686" applyFont="1" applyBorder="1" applyNumberFormat="1">
      <alignment horizontal="right" vertical="center" wrapText="1" indent="1"/>
    </xf>
    <xf numFmtId="0" fontId="27" fillId="0" borderId="20" xfId="687" applyFont="1" applyBorder="1" applyNumberFormat="1">
      <alignment horizontal="left" vertical="center" wrapText="1" indent="1"/>
    </xf>
    <xf numFmtId="0" fontId="76" fillId="0" borderId="0" xfId="689" applyFont="1" applyNumberFormat="1">
      <alignment vertical="top"/>
    </xf>
    <xf numFmtId="0" fontId="77" fillId="0" borderId="0" xfId="690" applyFont="1" applyNumberFormat="1">
      <alignment vertical="top"/>
    </xf>
    <xf numFmtId="0" fontId="27" fillId="0" borderId="30" xfId="692" applyFont="1" applyBorder="1" applyNumberFormat="1">
      <alignment horizontal="left" vertical="center" wrapText="1"/>
    </xf>
    <xf numFmtId="0" fontId="44" fillId="0" borderId="28" xfId="695" applyFont="1" applyBorder="1" applyNumberFormat="1">
      <alignment vertical="center" wrapText="1"/>
    </xf>
    <xf numFmtId="0" fontId="48" fillId="0" borderId="23" xfId="697" applyFont="1" applyBorder="1" applyNumberFormat="1">
      <alignment horizontal="left" vertical="center" indent="1"/>
    </xf>
    <xf numFmtId="0" fontId="44" fillId="0" borderId="30" xfId="699" applyFont="1" applyBorder="1" applyNumberFormat="1">
      <alignment vertical="center" wrapText="1"/>
    </xf>
    <xf numFmtId="0" fontId="44" fillId="0" borderId="23" xfId="706" applyFont="1" applyBorder="1" applyNumberFormat="1">
      <alignment horizontal="left" vertical="center" indent="1"/>
    </xf>
    <xf numFmtId="0" fontId="27" fillId="0" borderId="23" xfId="710" applyFont="1" applyBorder="1" applyNumberFormat="1">
      <alignment vertical="center" wrapText="1"/>
    </xf>
    <xf numFmtId="0" fontId="23" fillId="0" borderId="23" xfId="712" applyFont="1" applyBorder="1" applyNumberFormat="1">
      <alignment horizontal="left" vertical="center" wrapText="1"/>
    </xf>
    <xf numFmtId="0" fontId="23" fillId="38" borderId="23" xfId="714" applyFont="1" applyFill="1" applyBorder="1" applyNumberFormat="1">
      <alignment horizontal="left" vertical="center" wrapText="1"/>
      <protection locked="0"/>
    </xf>
    <xf numFmtId="0" fontId="23" fillId="0" borderId="23" xfId="716" applyFont="1" applyBorder="1" applyNumberFormat="1">
      <alignment vertical="center" wrapText="1"/>
    </xf>
    <xf numFmtId="0" fontId="27" fillId="40" borderId="23" xfId="724" applyFont="1" applyFill="1" applyBorder="1" applyNumberFormat="1">
      <alignment horizontal="left" vertical="top" wrapText="1"/>
    </xf>
    <xf numFmtId="0" fontId="23" fillId="40" borderId="23" xfId="725" applyFont="1" applyFill="1" applyBorder="1" applyNumberFormat="1">
      <alignment horizontal="left" vertical="center" wrapText="1"/>
    </xf>
    <xf numFmtId="0" fontId="48" fillId="41" borderId="21" xfId="726" applyFont="1" applyFill="1" applyBorder="1" applyNumberFormat="1">
      <alignment horizontal="left" vertical="center"/>
    </xf>
    <xf numFmtId="0" fontId="48" fillId="41" borderId="25" xfId="727" applyFont="1" applyFill="1" applyBorder="1" applyNumberFormat="1">
      <alignment horizontal="left" vertical="center"/>
    </xf>
    <xf numFmtId="0" fontId="48" fillId="41" borderId="20" xfId="728" applyFont="1" applyFill="1" applyBorder="1" applyNumberFormat="1">
      <alignment horizontal="left" vertical="center"/>
    </xf>
    <xf numFmtId="0" fontId="23" fillId="41" borderId="25" xfId="732" applyFont="1" applyFill="1" applyBorder="1" applyNumberFormat="1">
      <alignment vertical="center"/>
    </xf>
    <xf numFmtId="0" fontId="48" fillId="0" borderId="42" xfId="737" applyFont="1" applyBorder="1" applyNumberFormat="1">
      <alignment horizontal="left" vertical="center"/>
    </xf>
    <xf numFmtId="0" fontId="48" fillId="35" borderId="42" xfId="739" applyFont="1" applyFill="1" applyBorder="1" applyNumberFormat="1">
      <alignment horizontal="left" vertical="center"/>
      <protection locked="0"/>
    </xf>
    <xf numFmtId="0" fontId="48" fillId="38" borderId="42" xfId="740" applyFont="1" applyFill="1" applyBorder="1" applyNumberFormat="1">
      <alignment horizontal="left" vertical="center"/>
      <protection locked="0"/>
    </xf>
    <xf numFmtId="0" fontId="44" fillId="0" borderId="21" xfId="743" applyFont="1" applyBorder="1" applyNumberFormat="1">
      <alignment horizontal="left" vertical="center"/>
    </xf>
    <xf numFmtId="0" fontId="44" fillId="0" borderId="25" xfId="744" applyFont="1" applyBorder="1" applyNumberFormat="1">
      <alignment horizontal="left" vertical="center"/>
    </xf>
    <xf numFmtId="0" fontId="48" fillId="41" borderId="34" xfId="745" applyFont="1" applyFill="1" applyBorder="1" applyNumberFormat="1">
      <alignment horizontal="left" vertical="center"/>
    </xf>
    <xf numFmtId="0" fontId="27" fillId="0" borderId="29" xfId="749" applyFont="1" applyBorder="1" applyNumberFormat="1">
      <alignment horizontal="center" vertical="center"/>
    </xf>
    <xf numFmtId="0" fontId="27" fillId="40" borderId="32" xfId="752" applyFont="1" applyFill="1" applyBorder="1" applyNumberFormat="1">
      <alignment horizontal="left" vertical="center" wrapText="1"/>
    </xf>
    <xf numFmtId="0" fontId="27" fillId="0" borderId="42" xfId="754" applyFont="1" applyBorder="1" applyNumberFormat="1">
      <alignment horizontal="left" vertical="center" wrapText="1"/>
    </xf>
    <xf numFmtId="0" fontId="27" fillId="40" borderId="42" xfId="756" applyFont="1" applyFill="1" applyBorder="1" applyNumberFormat="1">
      <alignment horizontal="left" vertical="center" wrapText="1"/>
    </xf>
    <xf numFmtId="0" fontId="48" fillId="0" borderId="30" xfId="758" applyFont="1" applyBorder="1" applyNumberFormat="1">
      <alignment horizontal="left" vertical="center"/>
    </xf>
    <xf numFmtId="0" fontId="48" fillId="41" borderId="33" xfId="759" applyFont="1" applyFill="1" applyBorder="1" applyNumberFormat="1">
      <alignment horizontal="left" vertical="center"/>
    </xf>
    <xf numFmtId="0" fontId="48" fillId="41" borderId="26" xfId="760" applyFont="1" applyFill="1" applyBorder="1" applyNumberFormat="1">
      <alignment horizontal="left" vertical="center"/>
    </xf>
    <xf numFmtId="0" fontId="48" fillId="41" borderId="27" xfId="761" applyFont="1" applyFill="1" applyBorder="1" applyNumberFormat="1">
      <alignment horizontal="left" vertical="center"/>
    </xf>
    <xf numFmtId="0" fontId="48" fillId="41" borderId="33" xfId="764" applyFont="1" applyFill="1" applyBorder="1" applyNumberFormat="1">
      <alignment vertical="center"/>
    </xf>
    <xf numFmtId="0" fontId="27" fillId="39" borderId="0" xfId="768" applyFont="1" applyFill="1" applyNumberFormat="1">
      <alignment horizontal="right" vertical="center" wrapText="1"/>
    </xf>
    <xf numFmtId="0" fontId="27" fillId="39" borderId="0" xfId="769" applyFont="1" applyFill="1" applyNumberFormat="1">
      <alignment horizontal="right" vertical="center"/>
    </xf>
    <xf numFmtId="0" fontId="23" fillId="0" borderId="23" xfId="770" applyFont="1" applyBorder="1" applyNumberFormat="1">
      <alignment horizontal="left" vertical="center" wrapText="1" indent="1"/>
    </xf>
    <xf numFmtId="0" fontId="23" fillId="38" borderId="23" xfId="771" applyFont="1" applyFill="1" applyBorder="1" applyNumberFormat="1">
      <alignment horizontal="left" vertical="center" wrapText="1" indent="2"/>
      <protection locked="0"/>
    </xf>
    <xf numFmtId="0" fontId="27" fillId="0" borderId="32" xfId="773" applyFont="1" applyBorder="1" applyNumberFormat="1">
      <alignment vertical="center" wrapText="1"/>
    </xf>
    <xf numFmtId="0" fontId="56" fillId="0" borderId="23" xfId="777" applyFont="1" applyBorder="1" applyNumberFormat="1">
      <alignment horizontal="left" vertical="center" wrapText="1" indent="2"/>
    </xf>
    <xf numFmtId="0" fontId="27" fillId="0" borderId="32" xfId="779" applyFont="1" applyBorder="1" applyNumberFormat="1">
      <alignment vertical="top" wrapText="1"/>
    </xf>
    <xf numFmtId="0" fontId="27" fillId="0" borderId="30" xfId="780" applyFont="1" applyBorder="1" applyNumberFormat="1">
      <alignment vertical="top" wrapText="1"/>
    </xf>
    <xf numFmtId="0" fontId="70" fillId="0" borderId="0" xfId="782" applyFont="1" applyNumberFormat="1">
      <alignment vertical="center" wrapText="1"/>
    </xf>
    <xf numFmtId="0" fontId="27" fillId="0" borderId="42" xfId="783" applyFont="1" applyBorder="1" applyNumberFormat="1">
      <alignment vertical="center" wrapText="1"/>
    </xf>
    <xf numFmtId="0" fontId="23" fillId="37" borderId="23" xfId="784" applyFont="1" applyFill="1" applyBorder="1" applyNumberFormat="1">
      <alignment horizontal="center" vertical="center" wrapText="1"/>
    </xf>
    <xf numFmtId="0" fontId="27" fillId="40" borderId="23" xfId="787" applyFont="1" applyFill="1" applyBorder="1" applyNumberFormat="1">
      <alignment horizontal="left" vertical="center" wrapText="1"/>
    </xf>
    <xf numFmtId="0" fontId="23" fillId="0" borderId="42" xfId="788" applyFont="1" applyBorder="1" applyNumberFormat="1">
      <alignment horizontal="center" vertical="center" wrapText="1"/>
    </xf>
    <xf numFmtId="0" fontId="27" fillId="0" borderId="0" xfId="789" applyFont="1" applyNumberFormat="1">
      <alignment vertical="top" wrapText="1"/>
    </xf>
    <xf numFmtId="0" fontId="27" fillId="0" borderId="25" xfId="791" applyFont="1" applyBorder="1" applyNumberFormat="1">
      <alignment horizontal="left" vertical="top" wrapText="1" indent="1"/>
    </xf>
    <xf numFmtId="0" fontId="31" fillId="39" borderId="0" xfId="792" applyFont="1" applyFill="1" applyNumberFormat="1">
      <alignment horizontal="center" vertical="center" wrapText="1"/>
    </xf>
    <xf numFmtId="0" fontId="23" fillId="39" borderId="21" xfId="793" applyFont="1" applyFill="1" applyBorder="1" applyNumberFormat="1">
      <alignment horizontal="right" vertical="center" wrapText="1" indent="1"/>
    </xf>
    <xf numFmtId="0" fontId="27" fillId="37" borderId="23" xfId="795" applyFont="1" applyFill="1" applyBorder="1" applyNumberFormat="1">
      <alignment horizontal="left" vertical="center" wrapText="1" indent="1"/>
    </xf>
    <xf numFmtId="0" fontId="27" fillId="39" borderId="32" xfId="796" applyFont="1" applyFill="1" applyBorder="1" applyNumberFormat="1">
      <alignment horizontal="center" vertical="center" wrapText="1"/>
    </xf>
    <xf numFmtId="0" fontId="27" fillId="39" borderId="25" xfId="797" applyFont="1" applyFill="1" applyBorder="1" applyNumberFormat="1">
      <alignment horizontal="center" vertical="center" wrapText="1"/>
    </xf>
    <xf numFmtId="0" fontId="27" fillId="39" borderId="20" xfId="798" applyFont="1" applyFill="1" applyBorder="1" applyNumberFormat="1">
      <alignment horizontal="center" vertical="center" wrapText="1"/>
    </xf>
    <xf numFmtId="0" fontId="27" fillId="39" borderId="30" xfId="799" applyFont="1" applyFill="1" applyBorder="1" applyNumberFormat="1">
      <alignment horizontal="center" vertical="center" wrapText="1"/>
    </xf>
    <xf numFmtId="0" fontId="23" fillId="0" borderId="32" xfId="802" applyFont="1" applyBorder="1" applyNumberFormat="1">
      <alignment horizontal="left" vertical="center" wrapText="1"/>
    </xf>
    <xf numFmtId="0" fontId="70" fillId="39" borderId="0" xfId="803" applyFont="1" applyFill="1" applyNumberFormat="1">
      <alignment horizontal="center" vertical="top" wrapText="1"/>
    </xf>
    <xf numFmtId="0" fontId="23" fillId="37" borderId="21" xfId="804" applyFont="1" applyFill="1" applyBorder="1" applyNumberFormat="1">
      <alignment horizontal="left" vertical="center" wrapText="1" indent="1"/>
    </xf>
    <xf numFmtId="0" fontId="70" fillId="39" borderId="29" xfId="806" applyFont="1" applyFill="1" applyBorder="1" applyNumberFormat="1">
      <alignment horizontal="center" vertical="top" wrapText="1"/>
    </xf>
    <xf numFmtId="0" fontId="23" fillId="37" borderId="30" xfId="808" applyFont="1" applyFill="1" applyBorder="1" applyNumberFormat="1">
      <alignment horizontal="left" vertical="center" wrapText="1" indent="1"/>
    </xf>
    <xf numFmtId="0" fontId="27" fillId="0" borderId="23" xfId="809" applyFont="1" applyBorder="1" applyNumberFormat="1">
      <alignment vertical="top" wrapText="1"/>
    </xf>
    <xf numFmtId="0" fontId="37" fillId="0" borderId="23" xfId="814" applyFont="1" applyBorder="1" applyNumberFormat="1">
      <alignment horizontal="center" vertical="center"/>
    </xf>
    <xf numFmtId="0" fontId="27" fillId="39" borderId="23" xfId="816" applyFont="1" applyFill="1" applyBorder="1" applyNumberFormat="1">
      <alignment horizontal="left" vertical="center" wrapText="1"/>
    </xf>
    <xf numFmtId="0" fontId="27" fillId="0" borderId="23" xfId="817" applyFont="1" applyBorder="1" applyNumberFormat="1">
      <alignment horizontal="left" vertical="center" wrapText="1" indent="6"/>
    </xf>
    <xf numFmtId="0" fontId="27" fillId="37" borderId="21" xfId="818" applyFont="1" applyFill="1" applyBorder="1" applyNumberFormat="1">
      <alignment horizontal="left" vertical="center" wrapText="1"/>
    </xf>
    <xf numFmtId="0" fontId="27" fillId="37" borderId="25" xfId="819" applyFont="1" applyFill="1" applyBorder="1" applyNumberFormat="1">
      <alignment horizontal="left" vertical="center" wrapText="1"/>
    </xf>
    <xf numFmtId="0" fontId="27" fillId="37" borderId="20" xfId="820" applyFont="1" applyFill="1" applyBorder="1" applyNumberFormat="1">
      <alignment horizontal="left" vertical="center" wrapText="1"/>
    </xf>
    <xf numFmtId="0" fontId="49" fillId="0" borderId="23" xfId="821" applyFont="1" applyBorder="1" applyNumberFormat="1">
      <alignment vertical="top" wrapText="1"/>
    </xf>
    <xf numFmtId="0" fontId="37" fillId="0" borderId="21" xfId="822" applyFont="1" applyBorder="1" applyNumberFormat="1">
      <alignment horizontal="center" vertical="center"/>
    </xf>
    <xf numFmtId="0" fontId="46" fillId="39" borderId="0" xfId="823" applyFont="1" applyFill="1" applyNumberFormat="1">
      <alignment horizontal="center" vertical="center" wrapText="1"/>
    </xf>
    <xf numFmtId="0" fontId="27" fillId="0" borderId="29" xfId="824" applyFont="1" applyBorder="1" applyNumberFormat="1">
      <alignment vertical="center" wrapText="1"/>
    </xf>
    <xf numFmtId="0" fontId="27" fillId="39" borderId="23" xfId="825" applyFont="1" applyFill="1" applyBorder="1" applyNumberFormat="1">
      <alignment horizontal="left" vertical="center" wrapText="1" indent="1"/>
    </xf>
    <xf numFmtId="0" fontId="27" fillId="39" borderId="23" xfId="826" applyFont="1" applyFill="1" applyBorder="1" applyNumberFormat="1">
      <alignment horizontal="left" vertical="center" wrapText="1" indent="2"/>
    </xf>
    <xf numFmtId="0" fontId="27" fillId="39" borderId="23" xfId="827" applyFont="1" applyFill="1" applyBorder="1" applyNumberFormat="1">
      <alignment horizontal="left" vertical="center" wrapText="1" indent="3"/>
    </xf>
    <xf numFmtId="0" fontId="37" fillId="0" borderId="0" xfId="828" applyFont="1" applyNumberFormat="1">
      <alignment horizontal="center" vertical="center"/>
    </xf>
    <xf numFmtId="0" fontId="44" fillId="0" borderId="29" xfId="829" applyFont="1" applyBorder="1" applyNumberFormat="1">
      <alignment horizontal="center" vertical="center" wrapText="1"/>
    </xf>
    <xf numFmtId="0" fontId="27" fillId="39" borderId="23" xfId="830" applyFont="1" applyFill="1" applyBorder="1" applyNumberFormat="1">
      <alignment horizontal="left" vertical="center" wrapText="1" indent="4"/>
    </xf>
    <xf numFmtId="0" fontId="27" fillId="40" borderId="25" xfId="831" applyFont="1" applyFill="1" applyBorder="1" applyNumberFormat="1">
      <alignment horizontal="left" vertical="center" wrapText="1"/>
    </xf>
    <xf numFmtId="0" fontId="27" fillId="40" borderId="20" xfId="832" applyFont="1" applyFill="1" applyBorder="1" applyNumberFormat="1">
      <alignment horizontal="left" vertical="center" wrapText="1"/>
    </xf>
    <xf numFmtId="0" fontId="37" fillId="0" borderId="21" xfId="833" applyFont="1" applyBorder="1" applyNumberFormat="1">
      <alignment horizontal="center" vertical="center" wrapText="1"/>
    </xf>
    <xf numFmtId="0" fontId="44" fillId="0" borderId="29" xfId="834" applyFont="1" applyBorder="1" applyNumberFormat="1">
      <alignment vertical="center" wrapText="1"/>
    </xf>
    <xf numFmtId="0" fontId="27" fillId="39" borderId="23" xfId="835" applyFont="1" applyFill="1" applyBorder="1" applyNumberFormat="1">
      <alignment horizontal="left" vertical="center" wrapText="1" indent="5"/>
    </xf>
    <xf numFmtId="0" fontId="27" fillId="40" borderId="23" xfId="836" applyFont="1" applyFill="1" applyBorder="1" applyNumberFormat="1">
      <alignment horizontal="left" vertical="center" wrapText="1" indent="6"/>
    </xf>
    <xf numFmtId="0" fontId="49" fillId="0" borderId="32" xfId="840" applyFont="1" applyBorder="1" applyNumberFormat="1">
      <alignment horizontal="left" vertical="top" wrapText="1"/>
    </xf>
    <xf numFmtId="0" fontId="49" fillId="0" borderId="42" xfId="842" applyFont="1" applyBorder="1" applyNumberFormat="1">
      <alignment horizontal="left" vertical="top" wrapText="1"/>
    </xf>
    <xf numFmtId="0" fontId="49" fillId="0" borderId="30" xfId="846" applyFont="1" applyBorder="1" applyNumberFormat="1">
      <alignment horizontal="left" vertical="top" wrapText="1"/>
    </xf>
    <xf numFmtId="0" fontId="27" fillId="39" borderId="0" xfId="859" applyFont="1" applyFill="1" applyNumberFormat="1">
      <alignment horizontal="left" vertical="center" wrapText="1"/>
    </xf>
    <xf numFmtId="0" fontId="23" fillId="39" borderId="23" xfId="860" applyFont="1" applyFill="1" applyBorder="1" applyNumberFormat="1">
      <alignment horizontal="right" vertical="center" wrapText="1" indent="1"/>
    </xf>
    <xf numFmtId="0" fontId="23" fillId="0" borderId="25" xfId="861" applyFont="1" applyBorder="1" applyNumberFormat="1">
      <alignment vertical="center"/>
    </xf>
    <xf numFmtId="0" fontId="27" fillId="39" borderId="45" xfId="862" applyFont="1" applyFill="1" applyBorder="1" applyNumberFormat="1">
      <alignment vertical="center" wrapText="1"/>
    </xf>
    <xf numFmtId="0" fontId="50" fillId="0" borderId="45" xfId="863" applyFont="1" applyBorder="1" applyNumberFormat="1">
      <alignment horizontal="center" vertical="center" wrapText="1"/>
    </xf>
    <xf numFmtId="0" fontId="23" fillId="39" borderId="21" xfId="864" applyFont="1" applyFill="1" applyBorder="1" applyNumberFormat="1">
      <alignment horizontal="center" vertical="center" wrapText="1"/>
    </xf>
    <xf numFmtId="0" fontId="23" fillId="39" borderId="25" xfId="865" applyFont="1" applyFill="1" applyBorder="1" applyNumberFormat="1">
      <alignment horizontal="center" vertical="center" wrapText="1"/>
    </xf>
    <xf numFmtId="0" fontId="23" fillId="39" borderId="20" xfId="866" applyFont="1" applyFill="1" applyBorder="1" applyNumberFormat="1">
      <alignment horizontal="center" vertical="center" wrapText="1"/>
    </xf>
    <xf numFmtId="0" fontId="37" fillId="0" borderId="32" xfId="868" applyFont="1" applyBorder="1" applyNumberFormat="1">
      <alignment horizontal="center" vertical="center" wrapText="1"/>
    </xf>
    <xf numFmtId="0" fontId="27" fillId="39" borderId="42" xfId="869" applyFont="1" applyFill="1" applyBorder="1" applyNumberFormat="1">
      <alignment horizontal="center" vertical="center" wrapText="1"/>
    </xf>
    <xf numFmtId="0" fontId="27" fillId="0" borderId="30" xfId="871" applyFont="1" applyBorder="1" applyNumberFormat="1">
      <alignment vertical="center" wrapText="1"/>
    </xf>
    <xf numFmtId="0" fontId="81" fillId="39" borderId="0" xfId="873" applyFont="1" applyFill="1" applyNumberFormat="1">
      <alignment vertical="center" wrapText="1"/>
    </xf>
    <xf numFmtId="0" fontId="82" fillId="39" borderId="0" xfId="874" applyFont="1" applyFill="1" applyNumberFormat="1">
      <alignment vertical="center" wrapText="1"/>
    </xf>
    <xf numFmtId="0" fontId="44" fillId="39" borderId="26" xfId="877" applyFont="1" applyFill="1" applyBorder="1" applyNumberFormat="1">
      <alignment horizontal="center" vertical="center" wrapText="1"/>
    </xf>
    <xf numFmtId="0" fontId="65" fillId="39" borderId="26" xfId="878" applyFont="1" applyFill="1" applyBorder="1" applyNumberFormat="1">
      <alignment horizontal="center" vertical="center" wrapText="1"/>
    </xf>
    <xf numFmtId="0" fontId="37" fillId="0" borderId="0" xfId="879" applyFont="1" applyNumberFormat="1">
      <alignment horizontal="left" vertical="center" indent="1"/>
    </xf>
    <xf numFmtId="0" fontId="23" fillId="39" borderId="26" xfId="885" applyFont="1" applyFill="1" applyBorder="1" applyNumberFormat="1">
      <alignment horizontal="center" vertical="center" wrapText="1"/>
    </xf>
    <xf numFmtId="0" fontId="44" fillId="0" borderId="32" xfId="886" applyFont="1" applyBorder="1" applyNumberFormat="1">
      <alignment horizontal="center" vertical="center" wrapText="1"/>
    </xf>
    <xf numFmtId="0" fontId="44" fillId="0" borderId="23" xfId="887" applyFont="1" applyBorder="1" applyNumberFormat="1">
      <alignment horizontal="left" vertical="center" wrapText="1" indent="4"/>
    </xf>
    <xf numFmtId="0" fontId="44" fillId="0" borderId="23" xfId="888" applyFont="1" applyBorder="1" applyNumberFormat="1">
      <alignment horizontal="left" vertical="center" wrapText="1" indent="6"/>
    </xf>
    <xf numFmtId="0" fontId="44" fillId="0" borderId="21" xfId="889" applyFont="1" applyBorder="1" applyNumberFormat="1">
      <alignment horizontal="left" vertical="center" wrapText="1"/>
    </xf>
    <xf numFmtId="0" fontId="44" fillId="0" borderId="25" xfId="890" applyFont="1" applyBorder="1" applyNumberFormat="1">
      <alignment horizontal="left" vertical="center" wrapText="1"/>
    </xf>
    <xf numFmtId="0" fontId="44" fillId="0" borderId="20" xfId="891" applyFont="1" applyBorder="1" applyNumberFormat="1">
      <alignment horizontal="left" vertical="center" wrapText="1"/>
    </xf>
    <xf numFmtId="0" fontId="44" fillId="0" borderId="23" xfId="892" applyFont="1" applyBorder="1" applyNumberFormat="1">
      <alignment vertical="top" wrapText="1"/>
    </xf>
    <xf numFmtId="0" fontId="44" fillId="0" borderId="0" xfId="897" applyFont="1" applyNumberFormat="1">
      <alignment horizontal="center" vertical="center"/>
    </xf>
    <xf numFmtId="0" fontId="27" fillId="39" borderId="32" xfId="898" applyFont="1" applyFill="1" applyBorder="1" applyNumberFormat="1">
      <alignment horizontal="left" vertical="center" wrapText="1"/>
    </xf>
    <xf numFmtId="0" fontId="27" fillId="39" borderId="32" xfId="899" applyFont="1" applyFill="1" applyBorder="1" applyNumberFormat="1">
      <alignment horizontal="left" vertical="center" wrapText="1" indent="2"/>
    </xf>
    <xf numFmtId="0" fontId="27" fillId="0" borderId="32" xfId="900" applyFont="1" applyBorder="1" applyNumberFormat="1">
      <alignment horizontal="left" vertical="center" wrapText="1" indent="6"/>
    </xf>
    <xf numFmtId="0" fontId="27" fillId="37" borderId="33" xfId="901" applyFont="1" applyFill="1" applyBorder="1" applyNumberFormat="1">
      <alignment horizontal="left" vertical="center" wrapText="1"/>
    </xf>
    <xf numFmtId="0" fontId="27" fillId="37" borderId="26" xfId="902" applyFont="1" applyFill="1" applyBorder="1" applyNumberFormat="1">
      <alignment horizontal="left" vertical="center" wrapText="1"/>
    </xf>
    <xf numFmtId="0" fontId="27" fillId="37" borderId="27" xfId="903" applyFont="1" applyFill="1" applyBorder="1" applyNumberFormat="1">
      <alignment horizontal="left" vertical="center" wrapText="1"/>
    </xf>
    <xf numFmtId="0" fontId="27" fillId="37" borderId="23" xfId="904" applyFont="1" applyFill="1" applyBorder="1" applyNumberFormat="1">
      <alignment horizontal="left" vertical="center" wrapText="1"/>
    </xf>
    <xf numFmtId="0" fontId="49" fillId="0" borderId="20" xfId="905" applyFont="1" applyBorder="1" applyNumberFormat="1">
      <alignment vertical="top" wrapText="1"/>
    </xf>
    <xf numFmtId="0" fontId="44" fillId="0" borderId="20" xfId="906" applyFont="1" applyBorder="1" applyNumberFormat="1">
      <alignment vertical="top" wrapText="1"/>
    </xf>
    <xf numFmtId="0" fontId="27" fillId="39" borderId="30" xfId="907" applyFont="1" applyFill="1" applyBorder="1" applyNumberFormat="1">
      <alignment horizontal="left" vertical="center" wrapText="1"/>
    </xf>
    <xf numFmtId="0" fontId="27" fillId="40" borderId="30" xfId="908" applyFont="1" applyFill="1" applyBorder="1" applyNumberFormat="1">
      <alignment horizontal="left" vertical="center" wrapText="1" indent="6"/>
    </xf>
    <xf numFmtId="0" fontId="27" fillId="0" borderId="30" xfId="909" applyFont="1" applyBorder="1" applyNumberFormat="1">
      <alignment horizontal="left" vertical="center" wrapText="1" indent="6"/>
    </xf>
    <xf numFmtId="0" fontId="27" fillId="0" borderId="23" xfId="913" applyFont="1" applyBorder="1" applyNumberFormat="1">
      <alignment horizontal="center" vertical="center"/>
    </xf>
    <xf numFmtId="0" fontId="27" fillId="0" borderId="21" xfId="914" applyFont="1" applyBorder="1" applyNumberFormat="1">
      <alignment horizontal="center" vertical="center"/>
    </xf>
    <xf numFmtId="0" fontId="27" fillId="0" borderId="0" xfId="915" applyFont="1" applyNumberFormat="1">
      <alignment horizontal="center" vertical="center"/>
    </xf>
    <xf numFmtId="0" fontId="27" fillId="40" borderId="27" xfId="916" applyFont="1" applyFill="1" applyBorder="1" applyNumberFormat="1">
      <alignment horizontal="left" vertical="center" wrapText="1"/>
    </xf>
    <xf numFmtId="0" fontId="49" fillId="0" borderId="32" xfId="919" applyFont="1" applyBorder="1" applyNumberFormat="1">
      <alignment vertical="top" wrapText="1"/>
    </xf>
    <xf numFmtId="0" fontId="27" fillId="35" borderId="23" xfId="920" applyFont="1" applyFill="1" applyBorder="1" applyNumberFormat="1">
      <alignment horizontal="left" vertical="center" wrapText="1" indent="7"/>
      <protection locked="0"/>
    </xf>
    <xf numFmtId="0" fontId="27" fillId="41" borderId="25" xfId="923" applyFont="1" applyFill="1" applyBorder="1" applyNumberFormat="1">
      <alignment horizontal="left" vertical="center" wrapText="1" indent="6"/>
    </xf>
    <xf numFmtId="0" fontId="27" fillId="0" borderId="26" xfId="929" applyFont="1" applyBorder="1" applyNumberFormat="1">
      <alignment horizontal="center" vertical="center" wrapText="1"/>
    </xf>
    <xf numFmtId="0" fontId="27" fillId="0" borderId="45" xfId="930" applyFont="1" applyBorder="1" applyNumberFormat="1">
      <alignment horizontal="center" vertical="center" wrapText="1"/>
    </xf>
    <xf numFmtId="0" fontId="55" fillId="0" borderId="0" xfId="931" applyFont="1" applyNumberFormat="1">
      <alignment horizontal="left" vertical="center" indent="1"/>
    </xf>
    <xf numFmtId="0" fontId="55" fillId="0" borderId="0" xfId="932" applyFont="1" applyNumberFormat="1">
      <alignment horizontal="center" vertical="center"/>
    </xf>
    <xf numFmtId="0" fontId="45" fillId="39" borderId="0" xfId="933" applyFont="1" applyFill="1" applyNumberFormat="1">
      <alignment horizontal="center" vertical="center" wrapText="1"/>
    </xf>
    <xf numFmtId="0" fontId="44" fillId="0" borderId="23" xfId="934" applyFont="1" applyBorder="1" applyNumberFormat="1">
      <alignment horizontal="left" vertical="center" wrapText="1" indent="5"/>
    </xf>
    <xf numFmtId="0" fontId="44" fillId="0" borderId="29" xfId="935" applyFont="1" applyBorder="1" applyNumberFormat="1">
      <alignment horizontal="center" vertical="top" wrapText="1"/>
    </xf>
    <xf numFmtId="0" fontId="50" fillId="0" borderId="23" xfId="937" applyFont="1" applyBorder="1" applyNumberFormat="1">
      <alignment horizontal="center" vertical="center" wrapText="1"/>
    </xf>
    <xf numFmtId="0" fontId="27" fillId="0" borderId="23" xfId="938" applyFont="1" applyBorder="1" applyNumberFormat="1">
      <alignment horizontal="left" vertical="center" wrapText="1" indent="4"/>
    </xf>
    <xf numFmtId="0" fontId="27" fillId="39" borderId="42" xfId="939" applyFont="1" applyFill="1" applyBorder="1" applyNumberFormat="1">
      <alignment horizontal="left" vertical="center" wrapText="1"/>
    </xf>
    <xf numFmtId="0" fontId="44" fillId="0" borderId="29" xfId="951" applyFont="1" applyBorder="1" applyNumberFormat="1">
      <alignment horizontal="left" vertical="center" wrapText="1" indent="1"/>
    </xf>
    <xf numFmtId="0" fontId="37" fillId="0" borderId="0" xfId="954" applyFont="1" applyNumberFormat="1">
      <alignment horizontal="left" vertical="center"/>
    </xf>
    <xf numFmtId="0" fontId="83" fillId="39" borderId="0" xfId="955" applyFont="1" applyFill="1" applyNumberFormat="1">
      <alignment vertical="center" wrapText="1"/>
    </xf>
    <xf numFmtId="0" fontId="27" fillId="39" borderId="33" xfId="956" applyFont="1" applyFill="1" applyBorder="1" applyNumberFormat="1">
      <alignment horizontal="center" vertical="center" wrapText="1"/>
    </xf>
    <xf numFmtId="0" fontId="23" fillId="39" borderId="33" xfId="957" applyFont="1" applyFill="1" applyBorder="1" applyNumberFormat="1">
      <alignment horizontal="center" vertical="center" wrapText="1"/>
    </xf>
    <xf numFmtId="0" fontId="23" fillId="39" borderId="27" xfId="958" applyFont="1" applyFill="1" applyBorder="1" applyNumberFormat="1">
      <alignment horizontal="center" vertical="center" wrapText="1"/>
    </xf>
    <xf numFmtId="0" fontId="27" fillId="39" borderId="28" xfId="959" applyFont="1" applyFill="1" applyBorder="1" applyNumberFormat="1">
      <alignment horizontal="center" vertical="center" wrapText="1"/>
    </xf>
    <xf numFmtId="0" fontId="23" fillId="39" borderId="28" xfId="960" applyFont="1" applyFill="1" applyBorder="1" applyNumberFormat="1">
      <alignment horizontal="center" vertical="center" wrapText="1"/>
    </xf>
    <xf numFmtId="0" fontId="23" fillId="39" borderId="0" xfId="961" applyFont="1" applyFill="1" applyNumberFormat="1">
      <alignment horizontal="center" vertical="center" wrapText="1"/>
    </xf>
    <xf numFmtId="0" fontId="23" fillId="39" borderId="29" xfId="962" applyFont="1" applyFill="1" applyBorder="1" applyNumberFormat="1">
      <alignment horizontal="center" vertical="center" wrapText="1"/>
    </xf>
    <xf numFmtId="0" fontId="27" fillId="37" borderId="23" xfId="963" applyFont="1" applyFill="1" applyBorder="1" applyNumberFormat="1">
      <alignment horizontal="center" vertical="center" wrapText="1"/>
    </xf>
    <xf numFmtId="0" fontId="27" fillId="38" borderId="23" xfId="964" applyFont="1" applyFill="1" applyBorder="1" applyNumberFormat="1">
      <alignment horizontal="center" vertical="center" wrapText="1"/>
      <protection locked="0"/>
    </xf>
    <xf numFmtId="0" fontId="27" fillId="39" borderId="35" xfId="965" applyFont="1" applyFill="1" applyBorder="1" applyNumberFormat="1">
      <alignment horizontal="center" vertical="center" wrapText="1"/>
    </xf>
    <xf numFmtId="0" fontId="23" fillId="39" borderId="35" xfId="966" applyFont="1" applyFill="1" applyBorder="1" applyNumberFormat="1">
      <alignment horizontal="center" vertical="center" wrapText="1"/>
    </xf>
    <xf numFmtId="0" fontId="23" fillId="39" borderId="45" xfId="967" applyFont="1" applyFill="1" applyBorder="1" applyNumberFormat="1">
      <alignment horizontal="center" vertical="center" wrapText="1"/>
    </xf>
    <xf numFmtId="0" fontId="23" fillId="39" borderId="34" xfId="968" applyFont="1" applyFill="1" applyBorder="1" applyNumberFormat="1">
      <alignment horizontal="center" vertical="center" wrapText="1"/>
    </xf>
    <xf numFmtId="0" fontId="27" fillId="0" borderId="23" xfId="969" applyFont="1" applyBorder="1" applyNumberFormat="1">
      <alignment horizontal="left" vertical="center" wrapText="1" indent="1"/>
    </xf>
    <xf numFmtId="0" fontId="83" fillId="0" borderId="0" xfId="972" applyFont="1" applyNumberFormat="1">
      <alignment vertical="center" wrapText="1"/>
    </xf>
    <xf numFmtId="0" fontId="21" fillId="0" borderId="26" xfId="973" applyFont="1" applyBorder="1" applyNumberFormat="1">
      <alignment horizontal="left" vertical="center" wrapText="1" indent="1"/>
    </xf>
    <xf numFmtId="0" fontId="21" fillId="0" borderId="45" xfId="974" applyFont="1" applyBorder="1" applyNumberFormat="1">
      <alignment horizontal="left" vertical="center" wrapText="1" indent="1"/>
    </xf>
    <xf numFmtId="0" fontId="27" fillId="0" borderId="0" xfId="987" applyFont="1" applyNumberFormat="1">
      <alignment horizontal="left" vertical="center"/>
    </xf>
    <xf numFmtId="0" fontId="27" fillId="38" borderId="20" xfId="988" applyFont="1" applyFill="1" applyBorder="1" applyNumberFormat="1">
      <alignment horizontal="center" vertical="center" wrapText="1"/>
      <protection locked="0"/>
    </xf>
    <xf numFmtId="0" fontId="27" fillId="39" borderId="34" xfId="989" applyFont="1" applyFill="1" applyBorder="1" applyNumberFormat="1">
      <alignment horizontal="center" vertical="center" wrapText="1"/>
    </xf>
    <xf numFmtId="0" fontId="23" fillId="0" borderId="23" xfId="991" applyFont="1" applyBorder="1" applyNumberFormat="1">
      <alignment horizontal="left" vertical="center" wrapText="1" indent="2"/>
    </xf>
    <xf numFmtId="0" fontId="27" fillId="0" borderId="0" xfId="994" applyFont="1" applyNumberFormat="1">
      <alignment horizontal="right" vertical="top" wrapText="1"/>
    </xf>
    <xf numFmtId="0" fontId="23" fillId="0" borderId="23" xfId="995" applyFont="1" applyBorder="1" applyNumberFormat="1">
      <alignment horizontal="left" vertical="top" wrapText="1"/>
    </xf>
    <xf numFmtId="0" fontId="27" fillId="0" borderId="26" xfId="996" applyFont="1" applyBorder="1" applyNumberFormat="1">
      <alignment vertical="center" wrapText="1"/>
    </xf>
    <xf numFmtId="0" fontId="27" fillId="0" borderId="26" xfId="1000" applyFont="1" applyBorder="1" applyNumberFormat="1">
      <alignment horizontal="left" vertical="top" wrapText="1"/>
    </xf>
    <xf numFmtId="0" fontId="27" fillId="0" borderId="21" xfId="1001" applyFont="1" applyBorder="1" applyNumberFormat="1">
      <alignment vertical="center" wrapText="1"/>
    </xf>
    <xf numFmtId="0" fontId="27" fillId="0" borderId="25" xfId="1002" applyFont="1" applyBorder="1" applyNumberFormat="1">
      <alignment horizontal="right" vertical="center" wrapText="1" indent="1"/>
    </xf>
    <xf numFmtId="0" fontId="27" fillId="0" borderId="20" xfId="1003" applyFont="1" applyBorder="1" applyNumberFormat="1">
      <alignment horizontal="right" vertical="center" wrapText="1" indent="1"/>
    </xf>
    <xf numFmtId="0" fontId="27" fillId="37" borderId="21" xfId="1004" applyFont="1" applyFill="1" applyBorder="1" applyNumberFormat="1">
      <alignment horizontal="left" vertical="top" wrapText="1" indent="1"/>
    </xf>
    <xf numFmtId="0" fontId="27" fillId="37" borderId="20" xfId="1005" applyFont="1" applyFill="1" applyBorder="1" applyNumberFormat="1">
      <alignment horizontal="left" vertical="top" wrapText="1" indent="1"/>
    </xf>
    <xf numFmtId="0" fontId="27" fillId="0" borderId="21" xfId="1006" applyFont="1" applyBorder="1" applyNumberFormat="1">
      <alignment horizontal="right" vertical="center" wrapText="1"/>
    </xf>
    <xf numFmtId="0" fontId="27" fillId="0" borderId="25" xfId="1007" applyFont="1" applyBorder="1" applyNumberFormat="1">
      <alignment horizontal="right" vertical="center" wrapText="1"/>
    </xf>
    <xf numFmtId="0" fontId="27" fillId="0" borderId="20" xfId="1011" applyFont="1" applyBorder="1" applyNumberFormat="1">
      <alignment vertical="center" wrapText="1"/>
    </xf>
    <xf numFmtId="0" fontId="87" fillId="0" borderId="0" xfId="1015" applyFont="1" applyNumberFormat="1">
      <alignment vertical="center" wrapText="1"/>
    </xf>
    <xf numFmtId="0" fontId="37" fillId="0" borderId="23" xfId="1019" applyFont="1" applyBorder="1" applyNumberFormat="1">
      <alignment vertical="top" wrapText="1"/>
    </xf>
    <xf numFmtId="0" fontId="23" fillId="0" borderId="21" xfId="1020" applyFont="1" applyBorder="1" applyNumberFormat="1">
      <alignment horizontal="center" vertical="center"/>
    </xf>
    <xf numFmtId="0" fontId="37" fillId="41" borderId="20" xfId="1024" applyFont="1" applyFill="1" applyBorder="1" applyNumberFormat="1">
      <alignment vertical="center" wrapText="1"/>
    </xf>
    <xf numFmtId="0" fontId="27" fillId="41" borderId="26" xfId="1025" applyFont="1" applyFill="1" applyBorder="1" applyNumberFormat="1">
      <alignment vertical="center" wrapText="1"/>
    </xf>
    <xf numFmtId="0" fontId="27" fillId="41" borderId="45" xfId="1026" applyFont="1" applyFill="1" applyBorder="1" applyNumberFormat="1">
      <alignment vertical="center" wrapText="1"/>
    </xf>
    <xf numFmtId="0" fontId="27" fillId="35" borderId="21" xfId="1027" applyFont="1" applyFill="1" applyBorder="1" applyNumberFormat="1">
      <alignment horizontal="left" vertical="center" wrapText="1"/>
      <protection locked="0"/>
    </xf>
    <xf numFmtId="0" fontId="27" fillId="35" borderId="25" xfId="1028" applyFont="1" applyFill="1" applyBorder="1" applyNumberFormat="1">
      <alignment horizontal="left" vertical="center" wrapText="1"/>
      <protection locked="0"/>
    </xf>
    <xf numFmtId="0" fontId="27" fillId="35" borderId="20" xfId="1029" applyFont="1" applyFill="1" applyBorder="1" applyNumberFormat="1">
      <alignment horizontal="left" vertical="center" wrapText="1"/>
      <protection locked="0"/>
    </xf>
    <xf numFmtId="0" fontId="49" fillId="0" borderId="23" xfId="1034" applyFont="1" applyBorder="1" applyNumberFormat="1">
      <alignment horizontal="left" vertical="top" wrapText="1"/>
    </xf>
    <xf numFmtId="0" fontId="88" fillId="39" borderId="0" xfId="1036" applyFont="1" applyFill="1" applyNumberFormat="1">
      <alignment horizontal="center" vertical="center" wrapText="1"/>
    </xf>
    <xf numFmtId="0" fontId="44" fillId="39" borderId="23" xfId="1037" applyFont="1" applyFill="1" applyBorder="1" applyNumberFormat="1">
      <alignment horizontal="left" vertical="center" wrapText="1" indent="3"/>
    </xf>
    <xf numFmtId="0" fontId="44" fillId="0" borderId="26" xfId="1043" applyFont="1" applyBorder="1" applyNumberFormat="1">
      <alignment horizontal="left" vertical="center" wrapText="1"/>
    </xf>
    <xf numFmtId="0" fontId="27" fillId="0" borderId="66" xfId="1044" applyFont="1" applyBorder="1" applyNumberFormat="1">
      <alignment horizontal="center" vertical="center" wrapText="1"/>
    </xf>
    <xf numFmtId="0" fontId="27" fillId="38" borderId="23" xfId="1045" applyFont="1" applyFill="1" applyBorder="1" applyNumberFormat="1">
      <alignment horizontal="left" vertical="center" wrapText="1" indent="2"/>
      <protection locked="0"/>
    </xf>
    <xf numFmtId="0" fontId="44" fillId="0" borderId="66" xfId="1046" applyFont="1" applyBorder="1" applyNumberFormat="1">
      <alignment horizontal="center" vertical="center" wrapText="1"/>
    </xf>
    <xf numFmtId="0" fontId="44" fillId="0" borderId="23" xfId="1047" applyFont="1" applyBorder="1" applyNumberFormat="1">
      <alignment horizontal="left" vertical="center" wrapText="1" indent="2"/>
    </xf>
    <xf numFmtId="0" fontId="27" fillId="0" borderId="23" xfId="1048" applyFont="1" applyBorder="1" applyNumberFormat="1">
      <alignment horizontal="left" vertical="center" wrapText="1" indent="3"/>
    </xf>
    <xf numFmtId="0" fontId="27" fillId="35" borderId="23" xfId="1050" applyFont="1" applyFill="1" applyBorder="1" applyNumberFormat="1">
      <alignment horizontal="left" vertical="center" wrapText="1"/>
      <protection locked="0"/>
    </xf>
    <xf numFmtId="0" fontId="27" fillId="0" borderId="20" xfId="1051" applyFont="1" applyBorder="1" applyNumberFormat="1">
      <alignment vertical="top" wrapText="1"/>
    </xf>
    <xf numFmtId="0" fontId="27" fillId="0" borderId="27" xfId="1053" applyFont="1" applyBorder="1" applyNumberFormat="1">
      <alignment vertical="center" wrapText="1"/>
    </xf>
    <xf numFmtId="0" fontId="80" fillId="39" borderId="0" xfId="1054" applyFont="1" applyFill="1" applyNumberFormat="1">
      <alignment horizontal="right" vertical="center"/>
    </xf>
    <xf numFmtId="0" fontId="27" fillId="37" borderId="21" xfId="1055" applyFont="1" applyFill="1" applyBorder="1" applyNumberFormat="1">
      <alignment horizontal="left" vertical="top" wrapText="1"/>
    </xf>
    <xf numFmtId="0" fontId="55" fillId="0" borderId="0" xfId="1058" applyFont="1" applyNumberFormat="1">
      <alignment horizontal="center" vertical="center" wrapText="1"/>
    </xf>
    <xf numFmtId="0" fontId="55" fillId="0" borderId="23" xfId="1060" applyFont="1" applyBorder="1" applyNumberFormat="1">
      <alignment horizontal="left" vertical="center" wrapText="1" indent="2"/>
    </xf>
    <xf numFmtId="0" fontId="55" fillId="0" borderId="23" xfId="1061" applyFont="1" applyBorder="1" applyNumberFormat="1">
      <alignment horizontal="center" vertical="center" wrapText="1"/>
    </xf>
    <xf numFmtId="0" fontId="55" fillId="0" borderId="23" xfId="1062" applyFont="1" applyBorder="1" applyNumberFormat="1">
      <alignment vertical="center" wrapText="1"/>
    </xf>
    <xf numFmtId="0" fontId="55" fillId="0" borderId="66" xfId="1063" applyFont="1" applyBorder="1" applyNumberFormat="1">
      <alignment horizontal="center" vertical="center" wrapText="1"/>
    </xf>
    <xf numFmtId="0" fontId="55" fillId="0" borderId="23" xfId="1064" applyFont="1" applyBorder="1" applyNumberFormat="1">
      <alignment horizontal="left" vertical="center" wrapText="1" indent="3"/>
    </xf>
    <xf numFmtId="0" fontId="27" fillId="0" borderId="23" xfId="1067" applyFont="1" applyBorder="1" applyNumberFormat="1">
      <alignment horizontal="left" vertical="center" wrapText="1" indent="2"/>
    </xf>
    <xf numFmtId="0" fontId="37" fillId="0" borderId="0" xfId="1070" applyFont="1" applyNumberFormat="1">
      <alignment horizontal="left" vertical="center" wrapText="1"/>
    </xf>
    <xf numFmtId="0" fontId="44" fillId="0" borderId="23" xfId="1072" applyFont="1" applyBorder="1" applyNumberFormat="1">
      <alignment horizontal="left" vertical="center" wrapText="1" indent="3"/>
    </xf>
    <xf numFmtId="0" fontId="44" fillId="0" borderId="32" xfId="1074" applyFont="1" applyBorder="1" applyNumberFormat="1">
      <alignment vertical="top" wrapText="1"/>
    </xf>
    <xf numFmtId="0" fontId="27" fillId="0" borderId="21" xfId="1075" applyFont="1" applyBorder="1" applyNumberFormat="1">
      <alignment horizontal="left" vertical="center" wrapText="1" indent="2"/>
    </xf>
    <xf numFmtId="0" fontId="27" fillId="0" borderId="21" xfId="1077" applyFont="1" applyBorder="1" applyNumberFormat="1">
      <alignment horizontal="left" vertical="center" wrapText="1" indent="1"/>
    </xf>
    <xf numFmtId="0" fontId="44" fillId="0" borderId="42" xfId="1084" applyFont="1" applyBorder="1" applyNumberFormat="1">
      <alignment horizontal="left" vertical="center" wrapText="1" indent="1"/>
    </xf>
    <xf numFmtId="0" fontId="44" fillId="0" borderId="42" xfId="1085" applyFont="1" applyBorder="1" applyNumberFormat="1">
      <alignment horizontal="center" vertical="center" wrapText="1"/>
    </xf>
    <xf numFmtId="0" fontId="44" fillId="0" borderId="32" xfId="1086" applyFont="1" applyBorder="1" applyNumberFormat="1">
      <alignment vertical="center" wrapText="1"/>
    </xf>
    <xf numFmtId="0" fontId="44" fillId="0" borderId="30" xfId="1090" applyFont="1" applyBorder="1" applyNumberFormat="1">
      <alignment horizontal="left" vertical="center" wrapText="1" indent="1"/>
    </xf>
    <xf numFmtId="0" fontId="44" fillId="0" borderId="32" xfId="1091" applyFont="1" applyBorder="1" applyNumberFormat="1">
      <alignment horizontal="left" vertical="center" wrapText="1" indent="1"/>
    </xf>
    <xf numFmtId="0" fontId="67" fillId="0" borderId="0" xfId="1093" applyFont="1" applyNumberFormat="1">
      <alignment vertical="center" wrapText="1"/>
    </xf>
    <xf numFmtId="0" fontId="27" fillId="0" borderId="45" xfId="1094" applyFont="1" applyBorder="1" applyNumberFormat="1">
      <alignment vertical="center" wrapText="1"/>
    </xf>
    <xf numFmtId="0" fontId="84" fillId="39" borderId="0" xfId="1095" applyFont="1" applyFill="1" applyNumberFormat="1">
      <alignment horizontal="right" vertical="center"/>
    </xf>
    <xf numFmtId="0" fontId="44" fillId="0" borderId="21" xfId="1101" applyFont="1" applyBorder="1" applyNumberFormat="1">
      <alignment vertical="center" wrapText="1"/>
    </xf>
    <xf numFmtId="0" fontId="44" fillId="0" borderId="25" xfId="1102" applyFont="1" applyBorder="1" applyNumberFormat="1">
      <alignment horizontal="right" vertical="center" wrapText="1" indent="1"/>
    </xf>
    <xf numFmtId="0" fontId="44" fillId="0" borderId="20" xfId="1103" applyFont="1" applyBorder="1" applyNumberFormat="1">
      <alignment horizontal="right" vertical="center" wrapText="1" indent="1"/>
    </xf>
    <xf numFmtId="0" fontId="44" fillId="0" borderId="21" xfId="1104" applyFont="1" applyBorder="1" applyNumberFormat="1">
      <alignment horizontal="left" vertical="top" wrapText="1"/>
    </xf>
    <xf numFmtId="0" fontId="89" fillId="0" borderId="0" xfId="1106" applyFont="1" applyNumberFormat="1">
      <alignment vertical="center" wrapText="1"/>
    </xf>
    <xf numFmtId="0" fontId="44" fillId="0" borderId="45" xfId="1113" applyFont="1" applyBorder="1" applyNumberFormat="1">
      <alignment vertical="center" wrapText="1"/>
    </xf>
    <xf numFmtId="0" fontId="27" fillId="37" borderId="20" xfId="1114" applyFont="1" applyFill="1" applyBorder="1" applyNumberFormat="1">
      <alignment horizontal="left" vertical="top" wrapText="1"/>
    </xf>
    <xf numFmtId="0" fontId="90" fillId="0" borderId="28" xfId="1117" applyFont="1" applyBorder="1" applyNumberFormat="1">
      <alignment vertical="center" wrapText="1"/>
    </xf>
    <xf numFmtId="0" fontId="27" fillId="0" borderId="52" xfId="1122" applyFont="1" applyBorder="1" applyNumberFormat="1">
      <alignment horizontal="left" vertical="center" wrapText="1"/>
    </xf>
    <xf numFmtId="0" fontId="27" fillId="0" borderId="54" xfId="1126" applyFont="1" applyBorder="1" applyNumberFormat="1">
      <alignment horizontal="left" vertical="center" wrapText="1" indent="1"/>
    </xf>
    <xf numFmtId="0" fontId="27" fillId="0" borderId="54" xfId="1130" applyFont="1" applyBorder="1" applyNumberFormat="1">
      <alignment horizontal="left" vertical="center" wrapText="1"/>
    </xf>
    <xf numFmtId="0" fontId="27" fillId="0" borderId="49" xfId="1132" applyFont="1" applyBorder="1" applyNumberFormat="1">
      <alignment horizontal="left" vertical="center" wrapText="1" indent="1"/>
    </xf>
    <xf numFmtId="0" fontId="27" fillId="0" borderId="49" xfId="1134" applyFont="1" applyBorder="1" applyNumberFormat="1">
      <alignment horizontal="left" vertical="center" wrapText="1"/>
    </xf>
    <xf numFmtId="0" fontId="27" fillId="0" borderId="49" xfId="1135" applyFont="1" applyBorder="1" applyNumberFormat="1">
      <alignment horizontal="left" vertical="center" wrapText="1" indent="2"/>
    </xf>
    <xf numFmtId="0" fontId="27" fillId="0" borderId="71" xfId="1138" applyFont="1" applyBorder="1" applyNumberFormat="1">
      <alignment horizontal="left" vertical="center" wrapText="1"/>
    </xf>
    <xf numFmtId="0" fontId="37" fillId="53" borderId="23" xfId="1145" applyFont="1" applyFill="1" applyBorder="1" applyNumberFormat="1">
      <alignment horizontal="left" vertical="center" wrapText="1"/>
    </xf>
    <xf numFmtId="0" fontId="27" fillId="49" borderId="23" xfId="1146" applyFont="1" applyFill="1" applyBorder="1" applyNumberFormat="1">
      <alignment vertical="center"/>
    </xf>
    <xf numFmtId="0" fontId="27" fillId="0" borderId="26" xfId="1150" applyFont="1" applyBorder="1" applyNumberFormat="1">
      <alignment horizontal="right" vertical="center" wrapText="1" indent="1"/>
    </xf>
    <xf numFmtId="0" fontId="37" fillId="41" borderId="25" xfId="1152" applyFont="1" applyFill="1" applyBorder="1" applyNumberFormat="1">
      <alignment vertical="center" wrapText="1"/>
    </xf>
    <xf numFmtId="0" fontId="27" fillId="39" borderId="27" xfId="1154" applyFont="1" applyFill="1" applyBorder="1" applyNumberFormat="1">
      <alignment horizontal="center" vertical="center" wrapText="1"/>
    </xf>
    <xf numFmtId="0" fontId="23" fillId="39" borderId="32" xfId="1155" applyFont="1" applyFill="1" applyBorder="1" applyNumberFormat="1">
      <alignment horizontal="center" vertical="center" wrapText="1"/>
    </xf>
    <xf numFmtId="0" fontId="27" fillId="41" borderId="34" xfId="1157" applyFont="1" applyFill="1" applyBorder="1" applyNumberFormat="1">
      <alignment vertical="center" wrapText="1"/>
    </xf>
    <xf numFmtId="0" fontId="27" fillId="39" borderId="19" xfId="1158" applyFont="1" applyFill="1" applyBorder="1" applyNumberFormat="1">
      <alignment vertical="center" wrapText="1"/>
    </xf>
    <xf numFmtId="0" fontId="31" fillId="39" borderId="19" xfId="1160" applyFont="1" applyFill="1" applyBorder="1" applyNumberFormat="1">
      <alignment horizontal="center" wrapText="1"/>
    </xf>
    <xf numFmtId="0" fontId="27" fillId="0" borderId="15" xfId="1161" applyFont="1" applyBorder="1" applyNumberFormat="1">
      <alignment horizontal="center" vertical="center"/>
    </xf>
    <xf numFmtId="0" fontId="27" fillId="0" borderId="16" xfId="1162" applyFont="1" applyBorder="1" applyNumberFormat="1">
      <alignment horizontal="center" vertical="center"/>
    </xf>
    <xf numFmtId="0" fontId="27" fillId="0" borderId="17" xfId="1163" applyFont="1" applyBorder="1" applyNumberFormat="1">
      <alignment horizontal="center" vertical="center"/>
    </xf>
    <xf numFmtId="0" fontId="27" fillId="0" borderId="13" xfId="1164" applyFont="1" applyBorder="1" applyNumberFormat="1">
      <alignment vertical="center" wrapText="1"/>
    </xf>
    <xf numFmtId="0" fontId="27" fillId="39" borderId="26" xfId="1165" applyFont="1" applyFill="1" applyBorder="1" applyNumberFormat="1">
      <alignment vertical="center" wrapText="1"/>
    </xf>
    <xf numFmtId="0" fontId="44" fillId="0" borderId="19" xfId="1166" applyFont="1" applyBorder="1" applyNumberFormat="1">
      <alignment vertical="center" wrapText="1"/>
    </xf>
    <xf numFmtId="0" fontId="27" fillId="0" borderId="72" xfId="1167" applyFont="1" applyBorder="1" applyNumberFormat="1">
      <alignment horizontal="center" vertical="center"/>
    </xf>
    <xf numFmtId="0" fontId="27" fillId="0" borderId="44" xfId="1168" applyFont="1" applyBorder="1" applyNumberFormat="1">
      <alignment horizontal="center" vertical="center"/>
    </xf>
    <xf numFmtId="0" fontId="27" fillId="0" borderId="13" xfId="1169" applyFont="1" applyBorder="1" applyNumberFormat="1">
      <alignment vertical="center"/>
    </xf>
    <xf numFmtId="0" fontId="27" fillId="0" borderId="27" xfId="1180" applyFont="1" applyBorder="1" applyNumberFormat="1">
      <alignment horizontal="left" vertical="top" wrapText="1"/>
    </xf>
    <xf numFmtId="0" fontId="27" fillId="45" borderId="21" xfId="1184" applyFont="1" applyFill="1" applyBorder="1" applyNumberFormat="1">
      <alignment horizontal="center" vertical="center" wrapText="1"/>
    </xf>
    <xf numFmtId="0" fontId="27" fillId="45" borderId="25" xfId="1185" applyFont="1" applyFill="1" applyBorder="1" applyNumberFormat="1">
      <alignment horizontal="center" vertical="center" wrapText="1"/>
    </xf>
    <xf numFmtId="0" fontId="27" fillId="45" borderId="20" xfId="1186" applyFont="1" applyFill="1" applyBorder="1" applyNumberFormat="1">
      <alignment horizontal="center" vertical="center" wrapText="1"/>
    </xf>
    <xf numFmtId="0" fontId="27" fillId="43" borderId="23" xfId="1200" applyFont="1" applyFill="1" applyBorder="1" applyNumberFormat="1">
      <alignment horizontal="center" vertical="center" wrapText="1"/>
    </xf>
    <xf numFmtId="0" fontId="27" fillId="43" borderId="21" xfId="1201" applyFont="1" applyFill="1" applyBorder="1" applyNumberFormat="1">
      <alignment horizontal="center" vertical="center" wrapText="1"/>
    </xf>
    <xf numFmtId="0" fontId="27" fillId="43" borderId="20" xfId="1202" applyFont="1" applyFill="1" applyBorder="1" applyNumberFormat="1">
      <alignment horizontal="center" vertical="center" wrapText="1"/>
    </xf>
    <xf numFmtId="0" fontId="47" fillId="0" borderId="23" xfId="1206" applyFont="1" applyBorder="1" applyNumberFormat="1">
      <alignment horizontal="center" vertical="center"/>
    </xf>
    <xf numFmtId="0" fontId="27" fillId="0" borderId="32" xfId="1209" applyFont="1" applyBorder="1" applyNumberFormat="1">
      <alignment horizontal="right" vertical="center"/>
    </xf>
    <xf numFmtId="0" fontId="27" fillId="0" borderId="32" xfId="1210" applyFont="1" applyBorder="1" applyNumberFormat="1">
      <alignment horizontal="center" vertical="center"/>
    </xf>
    <xf numFmtId="0" fontId="93" fillId="39" borderId="0" xfId="1213" applyFont="1" applyFill="1" applyNumberFormat="1">
      <alignment horizontal="center" vertical="center" wrapText="1"/>
    </xf>
    <xf numFmtId="0" fontId="28" fillId="39" borderId="0" xfId="1214" applyFont="1" applyFill="1" applyNumberFormat="1"/>
    <xf numFmtId="0" fontId="27" fillId="0" borderId="0" xfId="1217" applyFont="1" applyNumberFormat="1"/>
    <xf numFmtId="0" fontId="50" fillId="39" borderId="0" xfId="1218" applyFont="1" applyFill="1" applyNumberFormat="1">
      <alignment horizontal="center" vertical="center"/>
    </xf>
    <xf numFmtId="0" fontId="27" fillId="39" borderId="32" xfId="1219" applyFont="1" applyFill="1" applyBorder="1" applyNumberFormat="1">
      <alignment horizontal="center" vertical="center"/>
    </xf>
    <xf numFmtId="0" fontId="50" fillId="0" borderId="0" xfId="1221" applyFont="1" applyNumberFormat="1">
      <alignment horizontal="center" vertical="center"/>
    </xf>
    <xf numFmtId="0" fontId="37" fillId="39" borderId="0" xfId="1223" applyFont="1" applyFill="1" applyNumberFormat="1"/>
    <xf numFmtId="0" fontId="94" fillId="39" borderId="0" xfId="1224" applyFont="1" applyFill="1" applyNumberFormat="1"/>
    <xf numFmtId="0" fontId="44" fillId="39" borderId="0" xfId="1225" applyFont="1" applyFill="1" applyNumberFormat="1">
      <alignment horizontal="center" vertical="center" wrapText="1"/>
    </xf>
    <xf numFmtId="0" fontId="23" fillId="39" borderId="32" xfId="1226" applyFont="1" applyFill="1" applyBorder="1" applyNumberFormat="1">
      <alignment horizontal="left" vertical="top" wrapText="1"/>
    </xf>
    <xf numFmtId="0" fontId="55" fillId="39" borderId="0" xfId="1227" applyFont="1" applyFill="1" applyNumberFormat="1">
      <alignment vertical="center" wrapText="1"/>
    </xf>
    <xf numFmtId="0" fontId="44" fillId="39" borderId="23" xfId="1228" applyFont="1" applyFill="1" applyBorder="1" applyNumberFormat="1">
      <alignment horizontal="center" vertical="center"/>
    </xf>
    <xf numFmtId="0" fontId="23" fillId="39" borderId="42" xfId="1229" applyFont="1" applyFill="1" applyBorder="1" applyNumberFormat="1">
      <alignment horizontal="left" vertical="top" wrapText="1"/>
    </xf>
    <xf numFmtId="0" fontId="56" fillId="39" borderId="0" xfId="1230" applyFont="1" applyFill="1" applyNumberFormat="1"/>
    <xf numFmtId="0" fontId="23" fillId="39" borderId="30" xfId="1231" applyFont="1" applyFill="1" applyBorder="1" applyNumberFormat="1">
      <alignment horizontal="left" vertical="top" wrapText="1"/>
    </xf>
    <xf numFmtId="0" fontId="89" fillId="39" borderId="0" xfId="1232" applyFont="1" applyFill="1" applyNumberFormat="1"/>
    <xf numFmtId="0" fontId="27" fillId="39" borderId="23" xfId="1233" applyFont="1" applyFill="1" applyBorder="1" applyNumberFormat="1">
      <alignment horizontal="left" vertical="top" wrapText="1"/>
    </xf>
    <xf numFmtId="0" fontId="27" fillId="39" borderId="23" xfId="1235" applyFont="1" applyFill="1" applyBorder="1" applyNumberFormat="1">
      <alignment vertical="top" wrapText="1"/>
    </xf>
    <xf numFmtId="0" fontId="37" fillId="0" borderId="42" xfId="1237" applyFont="1" applyBorder="1" applyNumberFormat="1">
      <alignment horizontal="left" vertical="center" wrapText="1" indent="1"/>
    </xf>
    <xf numFmtId="0" fontId="95" fillId="0" borderId="0" xfId="1248" applyFont="1" applyNumberFormat="1">
      <alignment vertical="center"/>
    </xf>
    <xf numFmtId="0" fontId="27" fillId="37" borderId="30" xfId="1254" applyFont="1" applyFill="1" applyBorder="1" applyNumberFormat="1">
      <alignment horizontal="left" vertical="center" wrapText="1" indent="1"/>
    </xf>
    <xf numFmtId="0" fontId="27" fillId="0" borderId="34" xfId="1256" applyFont="1" applyBorder="1" applyNumberFormat="1">
      <alignment horizontal="left" vertical="top" wrapText="1"/>
    </xf>
    <xf numFmtId="0" fontId="27" fillId="39" borderId="42" xfId="1260" applyFont="1" applyFill="1" applyBorder="1" applyNumberFormat="1">
      <alignment vertical="center" wrapText="1"/>
    </xf>
    <xf numFmtId="0" fontId="44" fillId="0" borderId="45" xfId="1261" applyFont="1" applyBorder="1" applyNumberFormat="1">
      <alignment horizontal="center" vertical="center" wrapText="1"/>
    </xf>
    <xf numFmtId="0" fontId="27" fillId="39" borderId="28" xfId="1262" applyFont="1" applyFill="1" applyBorder="1" applyNumberFormat="1">
      <alignment vertical="center" wrapText="1"/>
    </xf>
    <xf numFmtId="0" fontId="27" fillId="0" borderId="25" xfId="1263" applyFont="1" applyBorder="1" applyNumberFormat="1">
      <alignment horizontal="left" vertical="center" wrapText="1"/>
    </xf>
    <xf numFmtId="0" fontId="46" fillId="0" borderId="0" xfId="1266" applyFont="1" applyNumberFormat="1">
      <alignment horizontal="center" vertical="center" wrapText="1"/>
    </xf>
    <xf numFmtId="0" fontId="27" fillId="37" borderId="34" xfId="1268" applyFont="1" applyFill="1" applyBorder="1" applyNumberFormat="1">
      <alignment horizontal="left" vertical="center" wrapText="1"/>
    </xf>
    <xf numFmtId="0" fontId="23" fillId="0" borderId="0" xfId="1289" applyFont="1" applyNumberFormat="1"/>
    <xf numFmtId="0" fontId="23" fillId="0" borderId="24" xfId="1291" applyFont="1" applyBorder="1" applyNumberFormat="1">
      <alignment vertical="top" wrapText="1"/>
    </xf>
    <xf numFmtId="0" fontId="21" fillId="0" borderId="74" xfId="1292" applyFont="1" applyBorder="1" applyNumberFormat="1">
      <alignment vertical="top" wrapText="1"/>
    </xf>
    <xf numFmtId="0" fontId="23" fillId="0" borderId="23" xfId="1293" applyFont="1" applyBorder="1" applyNumberFormat="1">
      <alignment vertical="top" wrapText="1"/>
    </xf>
    <xf numFmtId="0" fontId="31" fillId="0" borderId="24" xfId="1295" applyFont="1" applyBorder="1" applyNumberFormat="1">
      <alignment vertical="center" wrapText="1"/>
    </xf>
    <xf numFmtId="0" fontId="21" fillId="0" borderId="0" xfId="1296" applyFont="1" applyNumberFormat="1">
      <alignment vertical="top" wrapText="1"/>
    </xf>
    <xf numFmtId="0" fontId="27" fillId="0" borderId="24" xfId="1297" applyFont="1" applyBorder="1" applyNumberFormat="1">
      <alignment vertical="center" wrapText="1"/>
    </xf>
    <xf numFmtId="0" fontId="0" fillId="0" borderId="0" xfId="0" applyFont="1" applyNumberFormat="1">
      <alignment vertical="top"/>
    </xf>
    <xf numFmtId="0"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0" fillId="0" borderId="0" xfId="28" applyFont="1" applyNumberFormat="1">
      <alignment vertical="top"/>
    </xf>
    <xf numFmtId="41" fontId="0" fillId="0" borderId="0" xfId="29" applyFont="1" applyNumberFormat="1">
      <alignment vertical="top"/>
    </xf>
    <xf numFmtId="44" fontId="0" fillId="0" borderId="0" xfId="30" applyFont="1" applyNumberFormat="1">
      <alignment vertical="top"/>
    </xf>
    <xf numFmtId="42" fontId="0"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0" fillId="32" borderId="7" xfId="41" applyFont="1" applyFill="1" applyBorder="1" applyNumberFormat="1">
      <alignment vertical="top"/>
    </xf>
    <xf numFmtId="0" fontId="15" fillId="27" borderId="8" xfId="42" applyFont="1" applyFill="1" applyBorder="1" applyNumberFormat="1">
      <alignment vertical="top"/>
    </xf>
    <xf numFmtId="9" fontId="0"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0" fontId="23" fillId="38" borderId="23" xfId="105" applyFont="1" applyFill="1" applyBorder="1" applyNumberFormat="1">
      <alignment horizontal="left" vertical="center" wrapText="1" indent="1"/>
      <protection locked="0"/>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0" fontId="39" fillId="39" borderId="0" xfId="115" applyFont="1" applyFill="1" applyNumberFormat="1">
      <alignment horizontal="center" vertical="center" wrapText="1"/>
    </xf>
    <xf numFmtId="0" fontId="23" fillId="39" borderId="22" xfId="118" applyFont="1" applyFill="1" applyBorder="1" applyNumberFormat="1">
      <alignment horizontal="right" vertical="center" wrapText="1" inden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0" fontId="27" fillId="40" borderId="23" xfId="124" applyFont="1" applyFill="1" applyBorder="1" applyNumberFormat="1">
      <alignment horizontal="left" vertical="center" wrapText="1" indent="1"/>
    </xf>
    <xf numFmtId="0" fontId="27" fillId="38" borderId="23" xfId="126" applyFont="1" applyFill="1" applyBorder="1" applyNumberFormat="1">
      <alignment horizontal="left" vertical="center" wrapText="1" indent="1"/>
    </xf>
    <xf numFmtId="0" fontId="27" fillId="0" borderId="0" xfId="128" applyFont="1" applyNumberFormat="1">
      <alignment horizontal="left" vertical="center" wrapText="1" indent="4"/>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0" fontId="27" fillId="0" borderId="31" xfId="173" applyFont="1" applyBorder="1" applyNumberFormat="1">
      <alignment vertical="center" wrapText="1"/>
    </xf>
    <xf numFmtId="0" fontId="49" fillId="0" borderId="0" xfId="174" applyFont="1" applyNumberFormat="1">
      <alignment vertical="center" wrapText="1"/>
    </xf>
    <xf numFmtId="0" fontId="50" fillId="0" borderId="0" xfId="175" applyFont="1" applyNumberFormat="1">
      <alignment horizontal="center" vertical="center" wrapText="1"/>
    </xf>
    <xf numFmtId="0" fontId="51" fillId="0" borderId="0" xfId="176" applyFont="1" applyNumberFormat="1">
      <alignment vertical="center"/>
    </xf>
    <xf numFmtId="0" fontId="23" fillId="0" borderId="0" xfId="177" applyFont="1" applyNumberFormat="1">
      <alignment vertical="center"/>
    </xf>
    <xf numFmtId="0" fontId="27" fillId="0" borderId="27" xfId="178" applyFont="1" applyBorder="1" applyNumberFormat="1">
      <alignment horizontal="left" vertical="center" wrapText="1" indent="1"/>
    </xf>
    <xf numFmtId="0" fontId="27" fillId="0" borderId="32" xfId="179" applyFont="1" applyBorder="1" applyNumberFormat="1">
      <alignment horizontal="left" vertical="center" wrapText="1" indent="1"/>
    </xf>
    <xf numFmtId="0" fontId="27" fillId="0" borderId="33" xfId="180" applyFont="1" applyBorder="1" applyNumberFormat="1">
      <alignment horizontal="left" vertical="center" wrapText="1" indent="1"/>
    </xf>
    <xf numFmtId="0" fontId="27" fillId="0" borderId="34" xfId="181" applyFont="1" applyBorder="1" applyNumberFormat="1">
      <alignment horizontal="left" vertical="center" indent="1"/>
    </xf>
    <xf numFmtId="0" fontId="27" fillId="0" borderId="30" xfId="182" applyFont="1" applyBorder="1" applyNumberFormat="1">
      <alignment horizontal="left" vertical="center" indent="1"/>
    </xf>
    <xf numFmtId="0" fontId="27" fillId="0" borderId="35" xfId="183" applyFont="1" applyBorder="1" applyNumberFormat="1">
      <alignment horizontal="left" vertical="center" indent="1"/>
    </xf>
    <xf numFmtId="0" fontId="52" fillId="0" borderId="0" xfId="184" applyFont="1" applyNumberFormat="1">
      <alignment vertical="center"/>
    </xf>
    <xf numFmtId="0" fontId="23" fillId="0" borderId="0" xfId="185" applyFont="1" applyNumberFormat="1">
      <alignment horizontal="left" vertical="center" wrapText="1" indent="2"/>
    </xf>
    <xf numFmtId="0" fontId="27" fillId="42" borderId="0" xfId="186" applyFont="1" applyFill="1" applyNumberFormat="1">
      <alignment horizontal="center" vertical="center" wrapText="1"/>
    </xf>
    <xf numFmtId="0" fontId="53" fillId="0" borderId="33" xfId="187" applyFont="1" applyBorder="1" applyNumberFormat="1">
      <alignment horizontal="center" vertical="center" wrapText="1"/>
    </xf>
    <xf numFmtId="0" fontId="53" fillId="0" borderId="26" xfId="188" applyFont="1" applyBorder="1" applyNumberFormat="1">
      <alignment horizontal="center" vertical="center" wrapText="1"/>
    </xf>
    <xf numFmtId="0" fontId="53" fillId="0" borderId="23" xfId="189" applyFont="1" applyBorder="1" applyNumberFormat="1">
      <alignment horizontal="center" vertical="center" wrapText="1"/>
    </xf>
    <xf numFmtId="0" fontId="27" fillId="0" borderId="36" xfId="190" applyFont="1" applyBorder="1" applyNumberFormat="1">
      <alignment horizontal="center" vertical="center" wrapText="1"/>
    </xf>
    <xf numFmtId="0" fontId="27" fillId="0" borderId="37" xfId="191" applyFont="1" applyBorder="1" applyNumberFormat="1">
      <alignment horizontal="center" vertical="center" wrapText="1"/>
    </xf>
    <xf numFmtId="0" fontId="37" fillId="0" borderId="28" xfId="192" applyFont="1" applyBorder="1" applyNumberFormat="1">
      <alignment vertical="center"/>
    </xf>
    <xf numFmtId="0" fontId="27" fillId="41" borderId="21" xfId="198" applyFont="1" applyFill="1" applyBorder="1" applyNumberFormat="1">
      <alignment horizontal="center" vertical="center" wrapText="1"/>
    </xf>
    <xf numFmtId="0" fontId="23" fillId="41" borderId="20" xfId="202" applyFont="1" applyFill="1" applyBorder="1" applyNumberFormat="1">
      <alignment vertical="center"/>
    </xf>
    <xf numFmtId="0" fontId="27" fillId="40" borderId="32" xfId="204" applyFont="1" applyFill="1" applyBorder="1" applyNumberFormat="1">
      <alignment horizontal="left" vertical="center" wrapText="1" indent="2"/>
    </xf>
    <xf numFmtId="0" fontId="27" fillId="0" borderId="41" xfId="207" applyFont="1" applyBorder="1" applyNumberFormat="1">
      <alignment horizontal="center" vertical="center" wrapText="1"/>
    </xf>
    <xf numFmtId="0" fontId="27" fillId="40" borderId="32" xfId="208" applyFont="1" applyFill="1" applyBorder="1" applyNumberFormat="1">
      <alignment horizontal="left" vertical="center" wrapText="1" indent="1"/>
    </xf>
    <xf numFmtId="0" fontId="27" fillId="0" borderId="0" xfId="212" applyFont="1" applyNumberFormat="1">
      <alignment vertical="center"/>
    </xf>
    <xf numFmtId="0" fontId="37" fillId="0" borderId="0" xfId="213" applyFont="1" applyNumberFormat="1">
      <alignment vertical="center"/>
    </xf>
    <xf numFmtId="0" fontId="47" fillId="0" borderId="23" xfId="215" applyFont="1" applyBorder="1" applyNumberFormat="1">
      <alignment horizontal="center" vertical="center" wrapText="1"/>
    </xf>
    <xf numFmtId="0" fontId="27" fillId="40" borderId="42" xfId="217" applyFont="1" applyFill="1" applyBorder="1" applyNumberFormat="1">
      <alignment horizontal="left" vertical="center" wrapText="1" indent="2"/>
    </xf>
    <xf numFmtId="0" fontId="27" fillId="40" borderId="30" xfId="218" applyFont="1" applyFill="1" applyBorder="1" applyNumberFormat="1">
      <alignment horizontal="left" vertical="center" wrapText="1" indent="1"/>
    </xf>
    <xf numFmtId="0" fontId="27" fillId="40" borderId="30" xfId="220" applyFont="1" applyFill="1" applyBorder="1" applyNumberFormat="1">
      <alignment horizontal="left" vertical="center" wrapText="1" indent="2"/>
    </xf>
    <xf numFmtId="0" fontId="53" fillId="42" borderId="0" xfId="224" applyFont="1" applyFill="1" applyNumberFormat="1">
      <alignment vertical="top"/>
    </xf>
    <xf numFmtId="0" fontId="27" fillId="0" borderId="27" xfId="226" applyFont="1" applyBorder="1" applyNumberFormat="1">
      <alignment horizontal="left" vertical="top" wrapText="1" indent="1"/>
    </xf>
    <xf numFmtId="0" fontId="27" fillId="0" borderId="32" xfId="227" applyFont="1" applyBorder="1" applyNumberFormat="1">
      <alignment horizontal="left" vertical="top" wrapText="1" indent="1"/>
    </xf>
    <xf numFmtId="0" fontId="27" fillId="0" borderId="33" xfId="228" applyFont="1" applyBorder="1" applyNumberFormat="1">
      <alignment horizontal="left" vertical="top" wrapText="1" indent="1"/>
    </xf>
    <xf numFmtId="0" fontId="27" fillId="0" borderId="45" xfId="229" applyFont="1" applyBorder="1" applyNumberFormat="1">
      <alignment horizontal="left" vertical="center" indent="1"/>
    </xf>
    <xf numFmtId="0" fontId="55" fillId="0" borderId="29" xfId="230" applyFont="1" applyBorder="1" applyNumberFormat="1">
      <alignment horizontal="left" vertical="center" wrapText="1" indent="1"/>
    </xf>
    <xf numFmtId="0" fontId="55" fillId="0" borderId="42" xfId="231" applyFont="1" applyBorder="1" applyNumberFormat="1">
      <alignment horizontal="left" vertical="center" wrapText="1" indent="1"/>
    </xf>
    <xf numFmtId="0" fontId="55" fillId="0" borderId="28" xfId="232" applyFont="1" applyBorder="1" applyNumberFormat="1">
      <alignment horizontal="left" vertical="center" wrapText="1" indent="1"/>
    </xf>
    <xf numFmtId="0" fontId="56" fillId="0" borderId="0" xfId="233" applyFont="1" applyNumberFormat="1">
      <alignment vertical="center"/>
    </xf>
    <xf numFmtId="0" fontId="23" fillId="0" borderId="23" xfId="234" applyFont="1" applyBorder="1" applyNumberFormat="1">
      <alignment horizontal="center" vertical="center" wrapText="1"/>
    </xf>
    <xf numFmtId="0" fontId="44" fillId="0" borderId="23" xfId="237" applyFont="1" applyBorder="1" applyNumberFormat="1">
      <alignment horizontal="center" vertical="center"/>
    </xf>
    <xf numFmtId="0" fontId="23" fillId="0" borderId="23" xfId="238" applyFont="1" applyBorder="1" applyNumberFormat="1">
      <alignment horizontal="center" vertical="center"/>
    </xf>
    <xf numFmtId="0" fontId="23" fillId="0" borderId="23" xfId="241" applyFont="1" applyBorder="1" applyNumberFormat="1">
      <alignment horizontal="center" vertical="top"/>
    </xf>
    <xf numFmtId="0" fontId="27" fillId="0" borderId="23" xfId="242" applyFont="1" applyBorder="1" applyNumberFormat="1">
      <alignment horizontal="left" vertical="top" wrapText="1"/>
    </xf>
    <xf numFmtId="0" fontId="27" fillId="40" borderId="32" xfId="243" applyFont="1" applyFill="1" applyBorder="1" applyNumberFormat="1">
      <alignment horizontal="center" vertical="top" wrapText="1"/>
    </xf>
    <xf numFmtId="0" fontId="23" fillId="0" borderId="33" xfId="244" applyFont="1" applyBorder="1" applyNumberFormat="1">
      <alignment horizontal="center" vertical="center"/>
    </xf>
    <xf numFmtId="0" fontId="23" fillId="0" borderId="26" xfId="245" applyFont="1" applyBorder="1" applyNumberFormat="1">
      <alignment horizontal="center" vertical="center"/>
    </xf>
    <xf numFmtId="0" fontId="23" fillId="0" borderId="26" xfId="248" applyFont="1" applyBorder="1" applyNumberFormat="1">
      <alignment horizontal="left" vertical="center" wrapText="1"/>
    </xf>
    <xf numFmtId="0" fontId="27" fillId="0" borderId="0" xfId="251" applyFont="1" applyNumberFormat="1">
      <alignment horizontal="left" vertical="center" indent="1"/>
    </xf>
    <xf numFmtId="0" fontId="27" fillId="40" borderId="42" xfId="252" applyFont="1" applyFill="1" applyBorder="1" applyNumberFormat="1">
      <alignment horizontal="center" vertical="top" wrapText="1"/>
    </xf>
    <xf numFmtId="0" fontId="23" fillId="0" borderId="28" xfId="253" applyFont="1" applyBorder="1" applyNumberFormat="1">
      <alignment horizontal="center" vertical="center"/>
    </xf>
    <xf numFmtId="0" fontId="48" fillId="0" borderId="29" xfId="254" applyFont="1" applyBorder="1" applyNumberFormat="1">
      <alignment horizontal="left" vertical="center"/>
    </xf>
    <xf numFmtId="0" fontId="27" fillId="40" borderId="30" xfId="256" applyFont="1" applyFill="1" applyBorder="1" applyNumberFormat="1">
      <alignment horizontal="center" vertical="top" wrapText="1"/>
    </xf>
    <xf numFmtId="0" fontId="48" fillId="0" borderId="35" xfId="257" applyFont="1" applyBorder="1" applyNumberFormat="1">
      <alignment horizontal="left" vertical="center"/>
    </xf>
    <xf numFmtId="0" fontId="48" fillId="0" borderId="45" xfId="258" applyFont="1" applyBorder="1" applyNumberFormat="1">
      <alignment horizontal="left" vertical="center"/>
    </xf>
    <xf numFmtId="0" fontId="23" fillId="0" borderId="45" xfId="259" applyFont="1" applyBorder="1" applyNumberFormat="1">
      <alignment vertical="center"/>
    </xf>
    <xf numFmtId="0" fontId="48" fillId="0" borderId="34" xfId="260" applyFont="1" applyBorder="1" applyNumberFormat="1">
      <alignment horizontal="left" vertical="center"/>
    </xf>
    <xf numFmtId="0" fontId="27" fillId="38" borderId="23" xfId="261" applyFont="1" applyFill="1" applyBorder="1" applyNumberFormat="1">
      <alignment horizontal="left" vertical="top" wrapText="1"/>
      <protection locked="0"/>
    </xf>
    <xf numFmtId="0" fontId="23" fillId="38" borderId="23" xfId="263" applyFont="1" applyFill="1" applyBorder="1" applyNumberFormat="1">
      <alignment horizontal="left" vertical="top"/>
      <protection locked="0"/>
    </xf>
    <xf numFmtId="0" fontId="23" fillId="0" borderId="32" xfId="264" applyFont="1" applyBorder="1" applyNumberFormat="1">
      <alignment horizontal="center" vertical="top"/>
    </xf>
    <xf numFmtId="0" fontId="27" fillId="0" borderId="32" xfId="265" applyFont="1" applyBorder="1" applyNumberFormat="1">
      <alignment horizontal="left" vertical="top" wrapText="1"/>
    </xf>
    <xf numFmtId="0" fontId="23" fillId="0" borderId="42" xfId="266" applyFont="1" applyBorder="1" applyNumberFormat="1">
      <alignment horizontal="center" vertical="top"/>
    </xf>
    <xf numFmtId="0" fontId="27" fillId="0" borderId="42" xfId="267" applyFont="1" applyBorder="1" applyNumberFormat="1">
      <alignment horizontal="left" vertical="top" wrapText="1"/>
    </xf>
    <xf numFmtId="0" fontId="23" fillId="0" borderId="30" xfId="268" applyFont="1" applyBorder="1" applyNumberFormat="1">
      <alignment horizontal="center" vertical="top"/>
    </xf>
    <xf numFmtId="0" fontId="27" fillId="0" borderId="30" xfId="269" applyFont="1" applyBorder="1" applyNumberFormat="1">
      <alignment horizontal="left" vertical="top" wrapText="1"/>
    </xf>
    <xf numFmtId="0" fontId="23" fillId="0" borderId="0" xfId="270" applyFont="1" applyNumberFormat="1">
      <alignment horizontal="left" vertical="top" wrapText="1"/>
    </xf>
    <xf numFmtId="0" fontId="23" fillId="0" borderId="0" xfId="271" applyFont="1" applyNumberFormat="1" quotePrefix="1">
      <alignment horizontal="left" vertical="top" wrapText="1" indent="1"/>
    </xf>
    <xf numFmtId="0" fontId="27" fillId="0" borderId="26" xfId="275" applyFont="1" applyBorder="1" applyNumberFormat="1">
      <alignment horizontal="left" vertical="center" wrapText="1" indent="1"/>
    </xf>
    <xf numFmtId="0" fontId="27" fillId="0" borderId="45" xfId="276" applyFont="1" applyBorder="1" applyNumberFormat="1">
      <alignment horizontal="left" vertical="center" wrapText="1" indent="1"/>
    </xf>
    <xf numFmtId="0" fontId="27" fillId="0" borderId="33" xfId="277" applyFont="1" applyBorder="1" applyNumberFormat="1">
      <alignment horizontal="center" vertical="center" wrapText="1"/>
    </xf>
    <xf numFmtId="0" fontId="27" fillId="0" borderId="27" xfId="278" applyFont="1" applyBorder="1" applyNumberFormat="1">
      <alignment horizontal="center" vertical="center" wrapText="1"/>
    </xf>
    <xf numFmtId="0" fontId="27" fillId="0" borderId="42" xfId="279" applyFont="1" applyBorder="1" applyNumberFormat="1">
      <alignment horizontal="center" vertical="center" wrapText="1"/>
    </xf>
    <xf numFmtId="0" fontId="27" fillId="0" borderId="32" xfId="280" applyFont="1" applyBorder="1" applyNumberFormat="1">
      <alignment horizontal="center" vertical="center" wrapText="1"/>
    </xf>
    <xf numFmtId="0" fontId="27" fillId="0" borderId="28" xfId="281" applyFont="1" applyBorder="1" applyNumberFormat="1">
      <alignment horizontal="center" vertical="center" wrapText="1"/>
    </xf>
    <xf numFmtId="0" fontId="27" fillId="0" borderId="29" xfId="282" applyFont="1" applyBorder="1" applyNumberFormat="1">
      <alignment horizontal="center" vertical="center" wrapText="1"/>
    </xf>
    <xf numFmtId="0" fontId="27" fillId="0" borderId="35" xfId="283" applyFont="1" applyBorder="1" applyNumberFormat="1">
      <alignment horizontal="center" vertical="center" wrapText="1"/>
    </xf>
    <xf numFmtId="0" fontId="27" fillId="0" borderId="34" xfId="284" applyFont="1" applyBorder="1" applyNumberFormat="1">
      <alignment horizontal="center" vertical="center" wrapText="1"/>
    </xf>
    <xf numFmtId="0" fontId="27" fillId="0" borderId="23" xfId="287" applyFont="1" applyBorder="1" applyNumberFormat="1">
      <alignment horizontal="left" vertical="center" wrapText="1"/>
    </xf>
    <xf numFmtId="0" fontId="27" fillId="0" borderId="26" xfId="290" applyFont="1" applyBorder="1" applyNumberFormat="1">
      <alignment horizontal="center" vertical="center"/>
    </xf>
    <xf numFmtId="0" fontId="27" fillId="0" borderId="26" xfId="293" applyFont="1" applyBorder="1" applyNumberFormat="1">
      <alignment horizontal="left" vertical="center" wrapText="1"/>
    </xf>
    <xf numFmtId="0" fontId="48" fillId="0" borderId="28" xfId="296" applyFont="1" applyBorder="1" applyNumberFormat="1">
      <alignment horizontal="left" vertical="center"/>
    </xf>
    <xf numFmtId="0" fontId="27" fillId="0" borderId="32" xfId="298" applyFont="1" applyBorder="1" applyNumberFormat="1">
      <alignment horizontal="left" vertical="center" wrapText="1"/>
    </xf>
    <xf numFmtId="0" fontId="27" fillId="0" borderId="33" xfId="299" applyFont="1" applyBorder="1" applyNumberFormat="1">
      <alignment horizontal="left" vertical="center" wrapText="1"/>
    </xf>
    <xf numFmtId="0" fontId="27" fillId="0" borderId="21" xfId="303" applyFont="1" applyBorder="1" applyNumberFormat="1">
      <alignment horizontal="left" vertical="center" wrapText="1"/>
    </xf>
    <xf numFmtId="0" fontId="27" fillId="39" borderId="0" xfId="304" applyFont="1" applyFill="1" applyNumberFormat="1"/>
    <xf numFmtId="0" fontId="23" fillId="39" borderId="0" xfId="305" applyFont="1" applyFill="1" applyNumberFormat="1"/>
    <xf numFmtId="0" fontId="44" fillId="39" borderId="0" xfId="306" applyFont="1" applyFill="1" applyNumberFormat="1"/>
    <xf numFmtId="0" fontId="40" fillId="39" borderId="0" xfId="307" applyFont="1" applyFill="1" applyNumberFormat="1">
      <alignment horizontal="center"/>
    </xf>
    <xf numFmtId="0" fontId="40" fillId="39" borderId="0" xfId="308" applyFont="1" applyFill="1" applyNumberFormat="1"/>
    <xf numFmtId="0" fontId="57" fillId="39" borderId="0" xfId="309" applyFont="1" applyFill="1" applyNumberFormat="1">
      <alignment horizontal="right" vertical="center"/>
    </xf>
    <xf numFmtId="0" fontId="44" fillId="39" borderId="0" xfId="310" applyFont="1" applyFill="1" applyNumberFormat="1">
      <alignment vertical="center" wrapText="1"/>
    </xf>
    <xf numFmtId="0" fontId="35" fillId="39" borderId="0" xfId="311" applyFont="1" applyFill="1" applyNumberFormat="1">
      <alignment horizontal="left" vertical="center" wrapText="1"/>
    </xf>
    <xf numFmtId="0" fontId="23" fillId="39" borderId="23" xfId="314" applyFont="1" applyFill="1" applyBorder="1" applyNumberFormat="1">
      <alignment horizontal="center" vertical="center" wrapText="1"/>
    </xf>
    <xf numFmtId="0" fontId="27" fillId="39" borderId="23" xfId="315" applyFont="1" applyFill="1" applyBorder="1" applyNumberFormat="1">
      <alignment horizontal="center" vertical="center" wrapText="1"/>
    </xf>
    <xf numFmtId="0" fontId="47" fillId="39" borderId="0" xfId="316" applyFont="1" applyFill="1" applyNumberFormat="1">
      <alignment horizontal="center" vertical="center"/>
    </xf>
    <xf numFmtId="0" fontId="44" fillId="0" borderId="23" xfId="318" applyFont="1" applyBorder="1" applyNumberFormat="1">
      <alignment vertical="center" wrapText="1"/>
    </xf>
    <xf numFmtId="0" fontId="44" fillId="0" borderId="23" xfId="319" applyFont="1" applyBorder="1" applyNumberFormat="1">
      <alignment horizontal="left" vertical="center" wrapText="1"/>
    </xf>
    <xf numFmtId="0" fontId="58" fillId="39" borderId="0" xfId="320" applyFont="1" applyFill="1" applyNumberFormat="1"/>
    <xf numFmtId="0" fontId="23" fillId="39" borderId="23" xfId="322" applyFont="1" applyFill="1" applyBorder="1" applyNumberFormat="1">
      <alignment vertical="center" wrapText="1"/>
    </xf>
    <xf numFmtId="0" fontId="27" fillId="39" borderId="23" xfId="323" applyFont="1" applyFill="1" applyBorder="1" applyNumberFormat="1">
      <alignment vertical="center" wrapText="1"/>
    </xf>
    <xf numFmtId="0" fontId="23" fillId="39" borderId="23" xfId="324" applyFont="1" applyFill="1" applyBorder="1" applyNumberFormat="1">
      <alignment horizontal="left" vertical="center" wrapText="1" indent="1"/>
    </xf>
    <xf numFmtId="0" fontId="44" fillId="0" borderId="23" xfId="326" applyFont="1" applyBorder="1" applyNumberFormat="1">
      <alignment horizontal="left" vertical="center" wrapText="1" indent="1"/>
    </xf>
    <xf numFmtId="0" fontId="27" fillId="39" borderId="29" xfId="328" applyFont="1" applyFill="1" applyBorder="1" applyNumberFormat="1">
      <alignment horizontal="center" vertical="center" wrapText="1"/>
    </xf>
    <xf numFmtId="0" fontId="23" fillId="39" borderId="23" xfId="329" applyFont="1" applyFill="1" applyBorder="1" applyNumberFormat="1">
      <alignment horizontal="center" vertical="center"/>
    </xf>
    <xf numFmtId="0" fontId="23" fillId="39" borderId="23" xfId="330" applyFont="1" applyFill="1" applyBorder="1" applyNumberFormat="1">
      <alignment horizontal="left" vertical="center" wrapText="1" indent="2"/>
    </xf>
    <xf numFmtId="0" fontId="27" fillId="39" borderId="29" xfId="333" applyFont="1" applyFill="1" applyBorder="1" applyNumberFormat="1">
      <alignment vertical="center" wrapText="1"/>
    </xf>
    <xf numFmtId="0" fontId="27" fillId="41" borderId="21" xfId="334" applyFont="1" applyFill="1" applyBorder="1" applyNumberFormat="1">
      <alignment horizontal="center"/>
    </xf>
    <xf numFmtId="0" fontId="57" fillId="41" borderId="25" xfId="335" applyFont="1" applyFill="1" applyBorder="1" applyNumberFormat="1">
      <alignment horizontal="left" vertical="center"/>
    </xf>
    <xf numFmtId="0" fontId="57" fillId="41" borderId="20" xfId="336" applyFont="1" applyFill="1" applyBorder="1" applyNumberFormat="1">
      <alignment horizontal="left" vertical="center"/>
    </xf>
    <xf numFmtId="0" fontId="44" fillId="39" borderId="23" xfId="338" applyFont="1" applyFill="1" applyBorder="1" applyNumberFormat="1">
      <alignment vertical="center" wrapText="1"/>
    </xf>
    <xf numFmtId="0" fontId="44" fillId="39" borderId="23" xfId="339" applyFont="1" applyFill="1" applyBorder="1" applyNumberFormat="1">
      <alignment horizontal="left" vertical="center" wrapText="1" indent="1"/>
    </xf>
    <xf numFmtId="0" fontId="44" fillId="39" borderId="23" xfId="340" applyFont="1" applyFill="1" applyBorder="1" applyNumberFormat="1">
      <alignment horizontal="left" vertical="center" wrapText="1" indent="2"/>
    </xf>
    <xf numFmtId="0" fontId="23" fillId="39" borderId="23" xfId="342" applyFont="1" applyFill="1" applyBorder="1" applyNumberFormat="1">
      <alignment horizontal="left" vertical="center" wrapText="1"/>
    </xf>
    <xf numFmtId="0" fontId="23" fillId="39" borderId="32" xfId="344" applyFont="1" applyFill="1" applyBorder="1" applyNumberFormat="1">
      <alignment horizontal="left" vertical="center" wrapText="1"/>
    </xf>
    <xf numFmtId="0" fontId="27" fillId="39" borderId="32" xfId="345" applyFont="1" applyFill="1" applyBorder="1" applyNumberFormat="1">
      <alignment horizontal="left" vertical="top" wrapText="1"/>
    </xf>
    <xf numFmtId="0" fontId="27" fillId="39" borderId="42" xfId="347" applyFont="1" applyFill="1" applyBorder="1" applyNumberFormat="1">
      <alignment horizontal="left" vertical="top" wrapText="1"/>
    </xf>
    <xf numFmtId="0" fontId="50" fillId="39" borderId="0" xfId="348" applyFont="1" applyFill="1" applyNumberFormat="1">
      <alignment horizontal="center" vertical="center" wrapText="1"/>
    </xf>
    <xf numFmtId="0" fontId="27" fillId="39" borderId="30" xfId="351" applyFont="1" applyFill="1" applyBorder="1" applyNumberFormat="1">
      <alignment horizontal="left" vertical="top" wrapText="1"/>
    </xf>
    <xf numFmtId="0" fontId="59" fillId="39" borderId="0" xfId="352" applyFont="1" applyFill="1" applyNumberFormat="1"/>
    <xf numFmtId="0" fontId="23" fillId="39" borderId="21" xfId="356" applyFont="1" applyFill="1" applyBorder="1" applyNumberFormat="1">
      <alignment horizontal="left" vertical="center" wrapText="1" indent="1"/>
    </xf>
    <xf numFmtId="0" fontId="23" fillId="39" borderId="23" xfId="358" applyFont="1" applyFill="1" applyBorder="1" applyNumberFormat="1">
      <alignment vertical="top" wrapText="1"/>
    </xf>
    <xf numFmtId="0" fontId="23" fillId="39" borderId="21" xfId="359" applyFont="1" applyFill="1" applyBorder="1" applyNumberFormat="1">
      <alignment horizontal="left" vertical="center" wrapText="1"/>
    </xf>
    <xf numFmtId="0" fontId="23" fillId="39" borderId="30" xfId="360" applyFont="1" applyFill="1" applyBorder="1" applyNumberFormat="1">
      <alignment vertical="center" wrapText="1"/>
    </xf>
    <xf numFmtId="0" fontId="49" fillId="0" borderId="0" xfId="361" applyFont="1" applyNumberFormat="1">
      <alignment horizontal="left" vertical="top" wrapText="1" indent="1"/>
    </xf>
    <xf numFmtId="0" fontId="60" fillId="39" borderId="0" xfId="362" applyFont="1" applyFill="1" applyNumberFormat="1"/>
    <xf numFmtId="0" fontId="53" fillId="39" borderId="0" xfId="363" applyFont="1" applyFill="1" applyNumberFormat="1">
      <alignment horizontal="center"/>
    </xf>
    <xf numFmtId="0" fontId="53" fillId="39" borderId="0" xfId="364" applyFont="1" applyFill="1" applyNumberFormat="1"/>
    <xf numFmtId="0" fontId="61" fillId="39" borderId="0" xfId="365" applyFont="1" applyFill="1" applyNumberFormat="1">
      <alignment horizontal="right" vertical="center"/>
    </xf>
    <xf numFmtId="0" fontId="62" fillId="39" borderId="0" xfId="366" applyFont="1" applyFill="1" applyNumberFormat="1">
      <alignment vertical="center"/>
    </xf>
    <xf numFmtId="0" fontId="61" fillId="39" borderId="0" xfId="367" applyFont="1" applyFill="1" applyNumberFormat="1">
      <alignment horizontal="right" vertical="top"/>
    </xf>
    <xf numFmtId="0" fontId="62" fillId="39" borderId="0" xfId="368" applyFont="1" applyFill="1" applyNumberFormat="1">
      <alignment vertical="center" wrapText="1"/>
    </xf>
    <xf numFmtId="0" fontId="23" fillId="39" borderId="0" xfId="369" applyFont="1" applyFill="1" applyNumberFormat="1">
      <alignment horizontal="center"/>
    </xf>
    <xf numFmtId="0" fontId="37" fillId="0" borderId="0" xfId="370" applyFont="1" applyNumberFormat="1">
      <alignment horizontal="center" vertical="center" wrapText="1"/>
    </xf>
    <xf numFmtId="0" fontId="63" fillId="39" borderId="0" xfId="371" applyFont="1" applyFill="1" applyNumberFormat="1">
      <alignment horizontal="center" vertical="center" wrapText="1"/>
    </xf>
    <xf numFmtId="0" fontId="63" fillId="39" borderId="0" xfId="372" applyFont="1" applyFill="1" applyNumberFormat="1">
      <alignment horizontal="right" vertical="center" wrapText="1"/>
    </xf>
    <xf numFmtId="0" fontId="63" fillId="0" borderId="0" xfId="373" applyFont="1" applyNumberFormat="1">
      <alignment vertical="center" wrapText="1"/>
    </xf>
    <xf numFmtId="0" fontId="27" fillId="0" borderId="34" xfId="374" applyFont="1" applyBorder="1" applyNumberFormat="1">
      <alignment horizontal="left" vertical="center" wrapText="1" indent="1"/>
    </xf>
    <xf numFmtId="0" fontId="27" fillId="0" borderId="30" xfId="375" applyFont="1" applyBorder="1" applyNumberFormat="1">
      <alignment horizontal="left" vertical="center" wrapText="1" indent="1"/>
    </xf>
    <xf numFmtId="0" fontId="27" fillId="0" borderId="35" xfId="376" applyFont="1" applyBorder="1" applyNumberFormat="1">
      <alignment horizontal="left" vertical="center" wrapText="1" indent="1"/>
    </xf>
    <xf numFmtId="0" fontId="64" fillId="39" borderId="0" xfId="377" applyFont="1" applyFill="1" applyNumberFormat="1">
      <alignment horizontal="center" vertical="center" wrapText="1"/>
    </xf>
    <xf numFmtId="0" fontId="23" fillId="0" borderId="21" xfId="378" applyFont="1" applyBorder="1" applyNumberFormat="1">
      <alignment horizontal="center" vertical="center" wrapText="1"/>
    </xf>
    <xf numFmtId="0" fontId="23" fillId="0" borderId="25" xfId="379" applyFont="1" applyBorder="1" applyNumberFormat="1">
      <alignment horizontal="center" vertical="center" wrapText="1"/>
    </xf>
    <xf numFmtId="0" fontId="23" fillId="0" borderId="20" xfId="380" applyFont="1" applyBorder="1" applyNumberFormat="1">
      <alignment horizontal="center" vertical="center" wrapText="1"/>
    </xf>
    <xf numFmtId="0" fontId="23" fillId="0" borderId="32" xfId="381" applyFont="1" applyBorder="1" applyNumberFormat="1">
      <alignment horizontal="center" vertical="center" wrapText="1"/>
    </xf>
    <xf numFmtId="0" fontId="23" fillId="0" borderId="33" xfId="382" applyFont="1" applyBorder="1" applyNumberFormat="1">
      <alignment horizontal="center" vertical="center" wrapText="1"/>
    </xf>
    <xf numFmtId="0" fontId="23" fillId="0" borderId="27" xfId="383" applyFont="1" applyBorder="1" applyNumberFormat="1">
      <alignment horizontal="center" vertical="center" wrapText="1"/>
    </xf>
    <xf numFmtId="0" fontId="23" fillId="0" borderId="30" xfId="384" applyFont="1" applyBorder="1" applyNumberFormat="1">
      <alignment horizontal="center" vertical="center" wrapText="1"/>
    </xf>
    <xf numFmtId="0" fontId="23" fillId="0" borderId="35" xfId="385" applyFont="1" applyBorder="1" applyNumberFormat="1">
      <alignment horizontal="center" vertical="center" wrapText="1"/>
    </xf>
    <xf numFmtId="0" fontId="23" fillId="0" borderId="34" xfId="386" applyFont="1" applyBorder="1" applyNumberFormat="1">
      <alignment horizontal="center" vertical="center" wrapText="1"/>
    </xf>
    <xf numFmtId="0" fontId="47" fillId="39" borderId="0" xfId="387" applyFont="1" applyFill="1" applyNumberFormat="1">
      <alignment horizontal="center" vertical="center" wrapText="1"/>
    </xf>
    <xf numFmtId="0" fontId="65" fillId="39" borderId="0" xfId="389" applyFont="1" applyFill="1" applyNumberFormat="1">
      <alignment horizontal="center" vertical="center" wrapText="1"/>
    </xf>
    <xf numFmtId="0" fontId="55" fillId="0" borderId="0" xfId="393" applyFont="1" applyNumberFormat="1">
      <alignment vertical="center" wrapText="1"/>
    </xf>
    <xf numFmtId="0" fontId="27" fillId="40" borderId="21" xfId="395" applyFont="1" applyFill="1" applyBorder="1" applyNumberFormat="1">
      <alignment horizontal="left" vertical="center" wrapText="1"/>
    </xf>
    <xf numFmtId="0" fontId="23" fillId="35" borderId="23" xfId="400" applyFont="1" applyFill="1" applyBorder="1" applyNumberFormat="1">
      <alignment horizontal="right" vertical="center" wrapText="1"/>
      <protection locked="0"/>
    </xf>
    <xf numFmtId="0" fontId="23" fillId="0" borderId="32" xfId="402" applyFont="1" applyBorder="1" applyNumberFormat="1">
      <alignment horizontal="left" vertical="top" wrapText="1"/>
    </xf>
    <xf numFmtId="0" fontId="48" fillId="41" borderId="25" xfId="404" applyFont="1" applyFill="1" applyBorder="1" applyNumberFormat="1">
      <alignment vertical="center"/>
    </xf>
    <xf numFmtId="0" fontId="23" fillId="0" borderId="30" xfId="408" applyFont="1" applyBorder="1" applyNumberFormat="1">
      <alignment horizontal="left" vertical="top" wrapText="1"/>
    </xf>
    <xf numFmtId="0" fontId="27" fillId="40" borderId="26" xfId="410" applyFont="1" applyFill="1" applyBorder="1" applyNumberFormat="1">
      <alignment horizontal="left" vertical="center" wrapText="1"/>
    </xf>
    <xf numFmtId="0" fontId="50" fillId="39" borderId="23" xfId="411" applyFont="1" applyFill="1" applyBorder="1" applyNumberFormat="1">
      <alignment horizontal="center" vertical="center" wrapText="1"/>
    </xf>
    <xf numFmtId="0" fontId="27" fillId="40" borderId="45" xfId="415" applyFont="1" applyFill="1" applyBorder="1" applyNumberFormat="1">
      <alignment horizontal="left" vertical="center" wrapText="1"/>
    </xf>
    <xf numFmtId="0" fontId="27" fillId="0" borderId="26" xfId="416" applyFont="1" applyBorder="1" applyNumberFormat="1">
      <alignment horizontal="left" vertical="top" wrapText="1" indent="1"/>
    </xf>
    <xf numFmtId="0" fontId="29" fillId="39" borderId="0" xfId="417" applyFont="1" applyFill="1" applyNumberFormat="1">
      <alignment horizontal="right" vertical="center"/>
    </xf>
    <xf numFmtId="0" fontId="29" fillId="39" borderId="0" xfId="418" applyFont="1" applyFill="1" applyNumberFormat="1">
      <alignment horizontal="right" vertical="center" wrapText="1"/>
    </xf>
    <xf numFmtId="0" fontId="50" fillId="39" borderId="29" xfId="421" applyFont="1" applyFill="1" applyBorder="1" applyNumberFormat="1">
      <alignment vertical="top" wrapText="1"/>
    </xf>
    <xf numFmtId="0" fontId="23" fillId="0" borderId="42" xfId="425" applyFont="1" applyBorder="1" applyNumberFormat="1">
      <alignment horizontal="left" vertical="top" wrapText="1"/>
    </xf>
    <xf numFmtId="0" fontId="50" fillId="39" borderId="0" xfId="426" applyFont="1" applyFill="1" applyNumberFormat="1">
      <alignment vertical="top" wrapText="1"/>
    </xf>
    <xf numFmtId="0" fontId="44" fillId="39" borderId="30" xfId="427" applyFont="1" applyFill="1" applyBorder="1" applyNumberFormat="1">
      <alignment horizontal="center" vertical="center" wrapText="1"/>
    </xf>
    <xf numFmtId="0" fontId="44" fillId="0" borderId="0" xfId="431" applyFont="1" applyNumberFormat="1">
      <alignment horizontal="left" vertical="center" wrapText="1"/>
    </xf>
    <xf numFmtId="0" fontId="49" fillId="0" borderId="0" xfId="436" applyFont="1" applyNumberFormat="1">
      <alignment vertical="top"/>
    </xf>
    <xf numFmtId="0" fontId="33" fillId="0" borderId="23" xfId="441" applyFont="1" applyBorder="1" applyNumberFormat="1">
      <alignment vertical="top" wrapText="1"/>
    </xf>
    <xf numFmtId="0" fontId="66" fillId="0" borderId="23" xfId="444" applyFont="1" applyBorder="1" applyNumberFormat="1">
      <alignment vertical="top" wrapText="1"/>
    </xf>
    <xf numFmtId="0" fontId="33" fillId="43" borderId="23" xfId="449" applyFont="1" applyFill="1" applyBorder="1" applyNumberFormat="1">
      <alignment horizontal="center" vertical="top" wrapText="1"/>
    </xf>
    <xf numFmtId="0" fontId="66" fillId="43" borderId="23" xfId="450" applyFont="1" applyFill="1" applyBorder="1" applyNumberFormat="1">
      <alignment horizontal="right" vertical="center" wrapText="1"/>
    </xf>
    <xf numFmtId="0" fontId="66" fillId="0" borderId="23" xfId="454" applyFont="1" applyBorder="1" applyNumberFormat="1">
      <alignment horizontal="left" vertical="top" wrapText="1"/>
    </xf>
    <xf numFmtId="0" fontId="66" fillId="43" borderId="23" xfId="456" applyFont="1" applyFill="1" applyBorder="1" applyNumberFormat="1">
      <alignment horizontal="center" vertical="center" wrapText="1"/>
    </xf>
    <xf numFmtId="0" fontId="66" fillId="0" borderId="32" xfId="459" applyFont="1" applyBorder="1" applyNumberFormat="1">
      <alignment horizontal="left" vertical="top" wrapText="1"/>
    </xf>
    <xf numFmtId="0" fontId="66" fillId="0" borderId="20" xfId="461" applyFont="1" applyBorder="1" applyNumberFormat="1">
      <alignment horizontal="left" vertical="top" wrapText="1"/>
    </xf>
    <xf numFmtId="0" fontId="66" fillId="0" borderId="32" xfId="465" applyFont="1" applyBorder="1" applyNumberFormat="1">
      <alignment vertical="top" wrapText="1"/>
    </xf>
    <xf numFmtId="0" fontId="33" fillId="0" borderId="21" xfId="467" applyFont="1" applyBorder="1" applyNumberFormat="1">
      <alignment horizontal="center" vertical="center" wrapText="1"/>
    </xf>
    <xf numFmtId="0" fontId="33" fillId="0" borderId="21" xfId="468" applyFont="1" applyBorder="1" applyNumberFormat="1">
      <alignment horizontal="center" vertical="center"/>
    </xf>
    <xf numFmtId="0" fontId="33" fillId="0" borderId="23" xfId="470" applyFont="1" applyBorder="1" applyNumberFormat="1">
      <alignment vertical="center" wrapText="1"/>
    </xf>
    <xf numFmtId="0" fontId="33" fillId="0" borderId="23" xfId="472" applyFont="1" applyBorder="1" applyNumberFormat="1">
      <alignment horizontal="center" vertical="center" wrapText="1"/>
    </xf>
    <xf numFmtId="0" fontId="33" fillId="0" borderId="32" xfId="473" applyFont="1" applyBorder="1" applyNumberFormat="1">
      <alignment vertical="center" wrapText="1"/>
    </xf>
    <xf numFmtId="0" fontId="33" fillId="0" borderId="30" xfId="474" applyFont="1" applyBorder="1" applyNumberFormat="1">
      <alignment vertical="center" wrapText="1"/>
    </xf>
    <xf numFmtId="0" fontId="33" fillId="0" borderId="32" xfId="479" applyFont="1" applyBorder="1" applyNumberFormat="1">
      <alignment horizontal="center" vertical="center" wrapText="1"/>
    </xf>
    <xf numFmtId="0" fontId="66" fillId="0" borderId="42" xfId="481" applyFont="1" applyBorder="1" applyNumberFormat="1">
      <alignment horizontal="left" vertical="top" wrapText="1"/>
    </xf>
    <xf numFmtId="0" fontId="23" fillId="45" borderId="23" xfId="485" applyFont="1" applyFill="1" applyBorder="1" applyNumberFormat="1">
      <alignment horizontal="center" vertical="center"/>
    </xf>
    <xf numFmtId="0" fontId="27" fillId="0" borderId="23" xfId="489" applyFont="1" applyBorder="1" applyNumberFormat="1">
      <alignment vertical="center"/>
    </xf>
    <xf numFmtId="0" fontId="23" fillId="0" borderId="23" xfId="490" applyFont="1" applyBorder="1" applyNumberFormat="1">
      <alignment vertical="center"/>
    </xf>
    <xf numFmtId="0" fontId="23" fillId="0" borderId="21" xfId="491" applyFont="1" applyBorder="1" applyNumberFormat="1">
      <alignment vertical="center"/>
    </xf>
    <xf numFmtId="0" fontId="27" fillId="0" borderId="21" xfId="492" applyFont="1" applyBorder="1" applyNumberFormat="1">
      <alignment horizontal="left" vertical="center"/>
    </xf>
    <xf numFmtId="0" fontId="23" fillId="0" borderId="20" xfId="496" applyFont="1" applyBorder="1" applyNumberFormat="1">
      <alignment vertical="center"/>
    </xf>
    <xf numFmtId="0" fontId="23" fillId="0" borderId="23" xfId="497" applyFont="1" applyBorder="1" applyNumberFormat="1">
      <alignment horizontal="right" vertical="top"/>
    </xf>
    <xf numFmtId="0" fontId="23" fillId="0" borderId="23" xfId="498" applyFont="1" applyBorder="1" applyNumberFormat="1">
      <alignment vertical="top"/>
    </xf>
    <xf numFmtId="0" fontId="27" fillId="0" borderId="20" xfId="499" applyFont="1" applyBorder="1" applyNumberFormat="1">
      <alignment vertical="center"/>
    </xf>
    <xf numFmtId="0" fontId="23" fillId="0" borderId="0" xfId="501" applyFont="1" applyNumberFormat="1">
      <alignment vertical="top"/>
    </xf>
    <xf numFmtId="0" fontId="27" fillId="0" borderId="23" xfId="502" applyFont="1" applyBorder="1" applyNumberFormat="1">
      <alignment vertical="top"/>
    </xf>
    <xf numFmtId="0" fontId="23" fillId="48" borderId="0" xfId="503" applyFont="1" applyFill="1" applyNumberFormat="1">
      <alignment horizontal="right" vertical="center"/>
    </xf>
    <xf numFmtId="0" fontId="23" fillId="48" borderId="0" xfId="504" applyFont="1" applyFill="1" applyNumberFormat="1">
      <alignment horizontal="left" vertical="center"/>
    </xf>
    <xf numFmtId="0" fontId="23" fillId="0" borderId="0" xfId="505" applyFont="1" applyNumberFormat="1">
      <alignment horizontal="right" vertical="top"/>
    </xf>
    <xf numFmtId="0" fontId="67" fillId="48" borderId="0" xfId="507" applyFont="1" applyFill="1" applyNumberFormat="1">
      <alignment horizontal="left" vertical="center"/>
    </xf>
    <xf numFmtId="0" fontId="23" fillId="0" borderId="21" xfId="510" applyFont="1" applyBorder="1" applyNumberFormat="1">
      <alignment horizontal="left" vertical="center"/>
    </xf>
    <xf numFmtId="0" fontId="23" fillId="0" borderId="32" xfId="512" applyFont="1" applyBorder="1" applyNumberFormat="1">
      <alignment vertical="top"/>
    </xf>
    <xf numFmtId="0" fontId="27" fillId="0" borderId="32" xfId="513" applyFont="1" applyBorder="1" applyNumberFormat="1">
      <alignment vertical="center"/>
    </xf>
    <xf numFmtId="0" fontId="27" fillId="48" borderId="0" xfId="517" applyFont="1" applyFill="1" applyNumberFormat="1">
      <alignment horizontal="left" vertical="center"/>
    </xf>
    <xf numFmtId="0" fontId="23" fillId="48" borderId="50" xfId="518" applyFont="1" applyFill="1" applyBorder="1" applyNumberFormat="1">
      <alignment horizontal="center"/>
    </xf>
    <xf numFmtId="0" fontId="23" fillId="0" borderId="50" xfId="521" applyFont="1" applyBorder="1" applyNumberFormat="1">
      <alignment horizontal="center"/>
    </xf>
    <xf numFmtId="0" fontId="47" fillId="0" borderId="0" xfId="524" applyFont="1" applyNumberFormat="1">
      <alignment horizontal="center" vertical="center" wrapText="1"/>
    </xf>
    <xf numFmtId="0" fontId="23" fillId="37" borderId="49" xfId="527" applyFont="1" applyFill="1" applyBorder="1" applyNumberFormat="1">
      <alignment horizontal="center" vertical="center"/>
    </xf>
    <xf numFmtId="0" fontId="20" fillId="0" borderId="51" xfId="529" applyFont="1" applyBorder="1" applyNumberFormat="1">
      <alignment horizontal="center" vertical="center"/>
    </xf>
    <xf numFmtId="0" fontId="23" fillId="0" borderId="51" xfId="530" applyFont="1" applyBorder="1" applyNumberFormat="1">
      <alignment horizontal="center" vertical="center"/>
    </xf>
    <xf numFmtId="0" fontId="23" fillId="43" borderId="23" xfId="533" applyFont="1" applyFill="1" applyBorder="1" applyNumberFormat="1">
      <alignment horizontal="right" vertical="center"/>
    </xf>
    <xf numFmtId="0" fontId="27" fillId="0" borderId="0" xfId="536" applyFont="1" applyNumberFormat="1">
      <alignment vertical="top"/>
    </xf>
    <xf numFmtId="0" fontId="27" fillId="37" borderId="35" xfId="539" applyFont="1" applyFill="1" applyBorder="1" applyNumberFormat="1">
      <alignment horizontal="center" vertical="top"/>
    </xf>
    <xf numFmtId="0" fontId="27" fillId="37" borderId="35" xfId="540" applyFont="1" applyFill="1" applyBorder="1" applyNumberFormat="1">
      <alignment horizontal="left" vertical="top"/>
    </xf>
    <xf numFmtId="0" fontId="23" fillId="0" borderId="52" xfId="541" applyFont="1" applyBorder="1" applyNumberFormat="1">
      <alignment horizontal="center" vertical="center"/>
    </xf>
    <xf numFmtId="0" fontId="23" fillId="0" borderId="53" xfId="542" applyFont="1" applyBorder="1" applyNumberFormat="1">
      <alignment horizontal="center" vertical="center"/>
    </xf>
    <xf numFmtId="0" fontId="27" fillId="0" borderId="23" xfId="543" applyFont="1" applyBorder="1" applyNumberFormat="1">
      <alignment horizontal="left" vertical="top"/>
    </xf>
    <xf numFmtId="0" fontId="23" fillId="0" borderId="54" xfId="544" applyFont="1" applyBorder="1" applyNumberFormat="1">
      <alignment horizontal="center" vertical="center"/>
    </xf>
    <xf numFmtId="0" fontId="23" fillId="48" borderId="0" xfId="547" applyFont="1" applyFill="1" applyNumberFormat="1">
      <alignment horizontal="right" vertical="top" wrapText="1"/>
    </xf>
    <xf numFmtId="0" fontId="27" fillId="0" borderId="0" xfId="548" applyFont="1" applyNumberFormat="1">
      <alignment horizontal="left" vertical="top" wrapText="1"/>
    </xf>
    <xf numFmtId="0" fontId="27" fillId="39" borderId="23" xfId="550" applyFont="1" applyFill="1" applyBorder="1" applyNumberFormat="1">
      <alignment horizontal="center" vertical="center"/>
    </xf>
    <xf numFmtId="0" fontId="50" fillId="39" borderId="0" xfId="551" applyFont="1" applyFill="1" applyNumberFormat="1">
      <alignment horizontal="center"/>
    </xf>
    <xf numFmtId="0" fontId="47" fillId="0" borderId="0" xfId="552" applyFont="1" applyNumberFormat="1">
      <alignment vertical="top" wrapText="1"/>
    </xf>
    <xf numFmtId="0" fontId="37" fillId="0" borderId="30" xfId="553" applyFont="1" applyBorder="1" applyNumberFormat="1">
      <alignment horizontal="center" vertical="center" wrapText="1"/>
    </xf>
    <xf numFmtId="0" fontId="37" fillId="0" borderId="23" xfId="554" applyFont="1" applyBorder="1" applyNumberFormat="1">
      <alignment horizontal="center" vertical="center" wrapText="1"/>
    </xf>
    <xf numFmtId="0" fontId="47" fillId="0" borderId="29" xfId="558" applyFont="1" applyBorder="1" applyNumberFormat="1">
      <alignment horizontal="center" vertical="center" wrapText="1"/>
    </xf>
    <xf numFmtId="0" fontId="53" fillId="0" borderId="23" xfId="560" applyFont="1" applyBorder="1" applyNumberFormat="1">
      <alignment horizontal="left" vertical="center" wrapText="1" indent="1"/>
    </xf>
    <xf numFmtId="0" fontId="54" fillId="0" borderId="32" xfId="561" applyFont="1" applyBorder="1" applyNumberFormat="1">
      <alignment horizontal="center" vertical="center" wrapText="1"/>
    </xf>
    <xf numFmtId="0" fontId="53" fillId="0" borderId="23" xfId="564" applyFont="1" applyBorder="1" applyNumberFormat="1">
      <alignment horizontal="left" vertical="top" indent="1"/>
    </xf>
    <xf numFmtId="0" fontId="27" fillId="39" borderId="0" xfId="565" applyFont="1" applyFill="1" applyNumberFormat="1">
      <alignment horizontal="center" vertical="top" wrapText="1"/>
    </xf>
    <xf numFmtId="0" fontId="27" fillId="39" borderId="21" xfId="566" applyFont="1" applyFill="1" applyBorder="1" applyNumberFormat="1">
      <alignment horizontal="center" vertical="center" wrapText="1"/>
    </xf>
    <xf numFmtId="0" fontId="44" fillId="39" borderId="23" xfId="567" applyFont="1" applyFill="1" applyBorder="1" applyNumberFormat="1">
      <alignment horizontal="center" vertical="center" wrapText="1"/>
    </xf>
    <xf numFmtId="0" fontId="70" fillId="39" borderId="0" xfId="573" applyFont="1" applyFill="1" applyNumberFormat="1">
      <alignment vertical="center" wrapText="1"/>
    </xf>
    <xf numFmtId="0" fontId="23" fillId="38" borderId="21" xfId="574" applyFont="1" applyFill="1" applyBorder="1" applyNumberFormat="1">
      <alignment horizontal="left" vertical="center" wrapText="1" indent="2"/>
      <protection locked="0"/>
    </xf>
    <xf numFmtId="0" fontId="50" fillId="0" borderId="29" xfId="575" applyFont="1" applyBorder="1" applyNumberFormat="1">
      <alignment horizontal="center" vertical="center" wrapText="1"/>
    </xf>
    <xf numFmtId="0" fontId="23" fillId="37" borderId="23" xfId="577" applyFont="1" applyFill="1" applyBorder="1" applyNumberFormat="1">
      <alignment horizontal="left" vertical="top" wrapText="1" indent="1"/>
    </xf>
    <xf numFmtId="0" fontId="27" fillId="37" borderId="23" xfId="584" applyFont="1" applyFill="1" applyBorder="1" applyNumberFormat="1">
      <alignment horizontal="center" vertical="top" wrapText="1"/>
    </xf>
    <xf numFmtId="0" fontId="27" fillId="35" borderId="23" xfId="585" applyFont="1" applyFill="1" applyBorder="1" applyNumberFormat="1">
      <alignment horizontal="left" vertical="top" wrapText="1"/>
      <protection locked="0"/>
    </xf>
    <xf numFmtId="0" fontId="27" fillId="0" borderId="29" xfId="588" applyFont="1" applyBorder="1" applyNumberFormat="1">
      <alignment vertical="top" wrapText="1"/>
    </xf>
    <xf numFmtId="0" fontId="27" fillId="41" borderId="21" xfId="593" applyFont="1" applyFill="1" applyBorder="1" applyNumberFormat="1">
      <alignment vertical="center" wrapText="1"/>
    </xf>
    <xf numFmtId="0" fontId="27" fillId="41" borderId="25" xfId="594" applyFont="1" applyFill="1" applyBorder="1" applyNumberFormat="1">
      <alignment vertical="center" wrapText="1"/>
    </xf>
    <xf numFmtId="0" fontId="23" fillId="37" borderId="42" xfId="596" applyFont="1" applyFill="1" applyBorder="1" applyNumberFormat="1">
      <alignment horizontal="left" vertical="top" wrapText="1" indent="1"/>
    </xf>
    <xf numFmtId="0" fontId="27" fillId="37" borderId="42" xfId="603" applyFont="1" applyFill="1" applyBorder="1" applyNumberFormat="1">
      <alignment horizontal="center" vertical="top" wrapText="1"/>
    </xf>
    <xf numFmtId="0" fontId="27" fillId="35" borderId="42" xfId="604" applyFont="1" applyFill="1" applyBorder="1" applyNumberFormat="1">
      <alignment horizontal="left" vertical="top" wrapText="1"/>
      <protection locked="0"/>
    </xf>
    <xf numFmtId="0" fontId="71" fillId="0" borderId="55" xfId="605" applyFont="1" applyBorder="1" applyNumberFormat="1">
      <alignment horizontal="left" vertical="center" indent="1"/>
    </xf>
    <xf numFmtId="0" fontId="71" fillId="0" borderId="56" xfId="606" applyFont="1" applyBorder="1" applyNumberFormat="1">
      <alignment horizontal="left" vertical="center" indent="1"/>
    </xf>
    <xf numFmtId="0" fontId="23" fillId="0" borderId="56" xfId="607" applyFont="1" applyBorder="1" applyNumberFormat="1">
      <alignment horizontal="left" vertical="center" wrapText="1"/>
    </xf>
    <xf numFmtId="0" fontId="27" fillId="0" borderId="56" xfId="608" applyFont="1" applyBorder="1" applyNumberFormat="1">
      <alignment vertical="center" wrapText="1"/>
    </xf>
    <xf numFmtId="0" fontId="27" fillId="0" borderId="57" xfId="609" applyFont="1" applyBorder="1" applyNumberFormat="1">
      <alignment vertical="center" wrapText="1"/>
    </xf>
    <xf numFmtId="0" fontId="27" fillId="0" borderId="58" xfId="610" applyFont="1" applyBorder="1" applyNumberFormat="1">
      <alignment vertical="center" wrapText="1"/>
    </xf>
    <xf numFmtId="0" fontId="27" fillId="0" borderId="28" xfId="611" applyFont="1" applyBorder="1" applyNumberFormat="1">
      <alignment vertical="center" wrapText="1"/>
    </xf>
    <xf numFmtId="0" fontId="72" fillId="0" borderId="23" xfId="620" applyFont="1" applyBorder="1" applyNumberFormat="1">
      <alignment horizontal="center" vertical="center"/>
    </xf>
    <xf numFmtId="0" fontId="72" fillId="0" borderId="23" xfId="627" applyFont="1" applyBorder="1" applyNumberFormat="1">
      <alignment horizontal="left" vertical="center" wrapText="1" indent="1"/>
    </xf>
    <xf numFmtId="0" fontId="23" fillId="41" borderId="61" xfId="634" applyFont="1" applyFill="1" applyBorder="1" applyNumberFormat="1">
      <alignment horizontal="left" vertical="center"/>
    </xf>
    <xf numFmtId="0" fontId="27" fillId="41" borderId="61" xfId="636" applyFont="1" applyFill="1" applyBorder="1" applyNumberFormat="1">
      <alignment vertical="center" wrapText="1"/>
    </xf>
    <xf numFmtId="0" fontId="27" fillId="41" borderId="62" xfId="637" applyFont="1" applyFill="1" applyBorder="1" applyNumberFormat="1">
      <alignment vertical="center" wrapText="1"/>
    </xf>
    <xf numFmtId="0" fontId="49" fillId="0" borderId="23" xfId="643" applyFont="1" applyBorder="1" applyNumberFormat="1">
      <alignment horizontal="center" vertical="center"/>
    </xf>
    <xf numFmtId="0" fontId="49" fillId="40" borderId="23" xfId="654" applyFont="1" applyFill="1" applyBorder="1" applyNumberFormat="1">
      <alignment horizontal="left" vertical="center" wrapText="1" indent="1"/>
    </xf>
    <xf numFmtId="0" fontId="49" fillId="0" borderId="20" xfId="661" applyFont="1" applyBorder="1" applyNumberFormat="1">
      <alignment horizontal="center" vertical="center"/>
    </xf>
    <xf numFmtId="0" fontId="71" fillId="0" borderId="63" xfId="672" applyFont="1" applyBorder="1" applyNumberFormat="1">
      <alignment horizontal="left" vertical="center" indent="1"/>
    </xf>
    <xf numFmtId="0" fontId="27" fillId="0" borderId="64" xfId="674" applyFont="1" applyBorder="1" applyNumberFormat="1">
      <alignment horizontal="right" vertical="center"/>
    </xf>
    <xf numFmtId="0" fontId="27" fillId="0" borderId="64" xfId="675" applyFont="1" applyBorder="1" applyNumberFormat="1">
      <alignment horizontal="center" vertical="center"/>
    </xf>
    <xf numFmtId="0" fontId="27" fillId="0" borderId="25" xfId="676" applyFont="1" applyBorder="1" applyNumberFormat="1">
      <alignment horizontal="right" vertical="center"/>
    </xf>
    <xf numFmtId="0" fontId="27" fillId="0" borderId="20" xfId="677" applyFont="1" applyBorder="1" applyNumberFormat="1">
      <alignment horizontal="right" vertical="center"/>
    </xf>
    <xf numFmtId="0" fontId="27" fillId="0" borderId="23" xfId="678" applyFont="1" applyBorder="1" applyNumberFormat="1">
      <alignment horizontal="right" vertical="center"/>
    </xf>
    <xf numFmtId="0" fontId="27" fillId="43" borderId="23" xfId="680" applyFont="1" applyFill="1" applyBorder="1" applyNumberFormat="1">
      <alignment horizontal="right" vertical="center"/>
    </xf>
    <xf numFmtId="0" fontId="23" fillId="0" borderId="21" xfId="684" applyFont="1" applyBorder="1" applyNumberFormat="1">
      <alignment horizontal="right" vertical="center" wrapText="1" indent="1"/>
    </xf>
    <xf numFmtId="0" fontId="23" fillId="0" borderId="25" xfId="685" applyFont="1" applyBorder="1" applyNumberFormat="1">
      <alignment horizontal="right" vertical="center" wrapText="1" indent="1"/>
    </xf>
    <xf numFmtId="0" fontId="23" fillId="0" borderId="20" xfId="686" applyFont="1" applyBorder="1" applyNumberFormat="1">
      <alignment horizontal="right" vertical="center" wrapText="1" indent="1"/>
    </xf>
    <xf numFmtId="0" fontId="27" fillId="0" borderId="20" xfId="687" applyFont="1" applyBorder="1" applyNumberFormat="1">
      <alignment horizontal="left" vertical="center" wrapText="1" indent="1"/>
    </xf>
    <xf numFmtId="0" fontId="76" fillId="0" borderId="0" xfId="689" applyFont="1" applyNumberFormat="1">
      <alignment vertical="top"/>
    </xf>
    <xf numFmtId="0" fontId="77" fillId="0" borderId="0" xfId="690" applyFont="1" applyNumberFormat="1">
      <alignment vertical="top"/>
    </xf>
    <xf numFmtId="0" fontId="27" fillId="0" borderId="30" xfId="692" applyFont="1" applyBorder="1" applyNumberFormat="1">
      <alignment horizontal="left" vertical="center" wrapText="1"/>
    </xf>
    <xf numFmtId="0" fontId="44" fillId="0" borderId="28" xfId="695" applyFont="1" applyBorder="1" applyNumberFormat="1">
      <alignment vertical="center" wrapText="1"/>
    </xf>
    <xf numFmtId="0" fontId="48" fillId="0" borderId="23" xfId="697" applyFont="1" applyBorder="1" applyNumberFormat="1">
      <alignment horizontal="left" vertical="center" indent="1"/>
    </xf>
    <xf numFmtId="0" fontId="44" fillId="0" borderId="30" xfId="699" applyFont="1" applyBorder="1" applyNumberFormat="1">
      <alignment vertical="center" wrapText="1"/>
    </xf>
    <xf numFmtId="0" fontId="44" fillId="0" borderId="23" xfId="706" applyFont="1" applyBorder="1" applyNumberFormat="1">
      <alignment horizontal="left" vertical="center" indent="1"/>
    </xf>
    <xf numFmtId="0" fontId="27" fillId="0" borderId="23" xfId="710" applyFont="1" applyBorder="1" applyNumberFormat="1">
      <alignment vertical="center" wrapText="1"/>
    </xf>
    <xf numFmtId="0" fontId="23" fillId="0" borderId="23" xfId="712" applyFont="1" applyBorder="1" applyNumberFormat="1">
      <alignment horizontal="left" vertical="center" wrapText="1"/>
    </xf>
    <xf numFmtId="0" fontId="23" fillId="38" borderId="23" xfId="714" applyFont="1" applyFill="1" applyBorder="1" applyNumberFormat="1">
      <alignment horizontal="left" vertical="center" wrapText="1"/>
      <protection locked="0"/>
    </xf>
    <xf numFmtId="0" fontId="23" fillId="0" borderId="23" xfId="716" applyFont="1" applyBorder="1" applyNumberFormat="1">
      <alignment vertical="center" wrapText="1"/>
    </xf>
    <xf numFmtId="0" fontId="27" fillId="40" borderId="23" xfId="724" applyFont="1" applyFill="1" applyBorder="1" applyNumberFormat="1">
      <alignment horizontal="left" vertical="top" wrapText="1"/>
    </xf>
    <xf numFmtId="0" fontId="23" fillId="40" borderId="23" xfId="725" applyFont="1" applyFill="1" applyBorder="1" applyNumberFormat="1">
      <alignment horizontal="left" vertical="center" wrapText="1"/>
    </xf>
    <xf numFmtId="0" fontId="48" fillId="41" borderId="21" xfId="726" applyFont="1" applyFill="1" applyBorder="1" applyNumberFormat="1">
      <alignment horizontal="left" vertical="center"/>
    </xf>
    <xf numFmtId="0" fontId="48" fillId="41" borderId="25" xfId="727" applyFont="1" applyFill="1" applyBorder="1" applyNumberFormat="1">
      <alignment horizontal="left" vertical="center"/>
    </xf>
    <xf numFmtId="0" fontId="48" fillId="41" borderId="20" xfId="728" applyFont="1" applyFill="1" applyBorder="1" applyNumberFormat="1">
      <alignment horizontal="left" vertical="center"/>
    </xf>
    <xf numFmtId="0" fontId="23" fillId="41" borderId="25" xfId="732" applyFont="1" applyFill="1" applyBorder="1" applyNumberFormat="1">
      <alignment vertical="center"/>
    </xf>
    <xf numFmtId="0" fontId="48" fillId="0" borderId="42" xfId="737" applyFont="1" applyBorder="1" applyNumberFormat="1">
      <alignment horizontal="left" vertical="center"/>
    </xf>
    <xf numFmtId="0" fontId="48" fillId="35" borderId="42" xfId="739" applyFont="1" applyFill="1" applyBorder="1" applyNumberFormat="1">
      <alignment horizontal="left" vertical="center"/>
      <protection locked="0"/>
    </xf>
    <xf numFmtId="0" fontId="48" fillId="38" borderId="42" xfId="740" applyFont="1" applyFill="1" applyBorder="1" applyNumberFormat="1">
      <alignment horizontal="left" vertical="center"/>
      <protection locked="0"/>
    </xf>
    <xf numFmtId="0" fontId="44" fillId="0" borderId="21" xfId="743" applyFont="1" applyBorder="1" applyNumberFormat="1">
      <alignment horizontal="left" vertical="center"/>
    </xf>
    <xf numFmtId="0" fontId="44" fillId="0" borderId="25" xfId="744" applyFont="1" applyBorder="1" applyNumberFormat="1">
      <alignment horizontal="left" vertical="center"/>
    </xf>
    <xf numFmtId="0" fontId="48" fillId="41" borderId="34" xfId="745" applyFont="1" applyFill="1" applyBorder="1" applyNumberFormat="1">
      <alignment horizontal="left" vertical="center"/>
    </xf>
    <xf numFmtId="0" fontId="27" fillId="0" borderId="29" xfId="749" applyFont="1" applyBorder="1" applyNumberFormat="1">
      <alignment horizontal="center" vertical="center"/>
    </xf>
    <xf numFmtId="0" fontId="27" fillId="40" borderId="32" xfId="752" applyFont="1" applyFill="1" applyBorder="1" applyNumberFormat="1">
      <alignment horizontal="left" vertical="center" wrapText="1"/>
    </xf>
    <xf numFmtId="0" fontId="27" fillId="0" borderId="42" xfId="754" applyFont="1" applyBorder="1" applyNumberFormat="1">
      <alignment horizontal="left" vertical="center" wrapText="1"/>
    </xf>
    <xf numFmtId="0" fontId="27" fillId="40" borderId="42" xfId="756" applyFont="1" applyFill="1" applyBorder="1" applyNumberFormat="1">
      <alignment horizontal="left" vertical="center" wrapText="1"/>
    </xf>
    <xf numFmtId="0" fontId="48" fillId="0" borderId="30" xfId="758" applyFont="1" applyBorder="1" applyNumberFormat="1">
      <alignment horizontal="left" vertical="center"/>
    </xf>
    <xf numFmtId="0" fontId="48" fillId="41" borderId="33" xfId="759" applyFont="1" applyFill="1" applyBorder="1" applyNumberFormat="1">
      <alignment horizontal="left" vertical="center"/>
    </xf>
    <xf numFmtId="0" fontId="48" fillId="41" borderId="26" xfId="760" applyFont="1" applyFill="1" applyBorder="1" applyNumberFormat="1">
      <alignment horizontal="left" vertical="center"/>
    </xf>
    <xf numFmtId="0" fontId="48" fillId="41" borderId="27" xfId="761" applyFont="1" applyFill="1" applyBorder="1" applyNumberFormat="1">
      <alignment horizontal="left" vertical="center"/>
    </xf>
    <xf numFmtId="0" fontId="48" fillId="41" borderId="33" xfId="764" applyFont="1" applyFill="1" applyBorder="1" applyNumberFormat="1">
      <alignment vertical="center"/>
    </xf>
    <xf numFmtId="0" fontId="27" fillId="39" borderId="0" xfId="768" applyFont="1" applyFill="1" applyNumberFormat="1">
      <alignment horizontal="right" vertical="center" wrapText="1"/>
    </xf>
    <xf numFmtId="0" fontId="27" fillId="39" borderId="0" xfId="769" applyFont="1" applyFill="1" applyNumberFormat="1">
      <alignment horizontal="right" vertical="center"/>
    </xf>
    <xf numFmtId="0" fontId="23" fillId="0" borderId="23" xfId="770" applyFont="1" applyBorder="1" applyNumberFormat="1">
      <alignment horizontal="left" vertical="center" wrapText="1" indent="1"/>
    </xf>
    <xf numFmtId="0" fontId="23" fillId="38" borderId="23" xfId="771" applyFont="1" applyFill="1" applyBorder="1" applyNumberFormat="1">
      <alignment horizontal="left" vertical="center" wrapText="1" indent="2"/>
      <protection locked="0"/>
    </xf>
    <xf numFmtId="0" fontId="27" fillId="0" borderId="32" xfId="773" applyFont="1" applyBorder="1" applyNumberFormat="1">
      <alignment vertical="center" wrapText="1"/>
    </xf>
    <xf numFmtId="0" fontId="56" fillId="0" borderId="23" xfId="777" applyFont="1" applyBorder="1" applyNumberFormat="1">
      <alignment horizontal="left" vertical="center" wrapText="1" indent="2"/>
    </xf>
    <xf numFmtId="0" fontId="27" fillId="0" borderId="32" xfId="779" applyFont="1" applyBorder="1" applyNumberFormat="1">
      <alignment vertical="top" wrapText="1"/>
    </xf>
    <xf numFmtId="0" fontId="27" fillId="0" borderId="30" xfId="780" applyFont="1" applyBorder="1" applyNumberFormat="1">
      <alignment vertical="top" wrapText="1"/>
    </xf>
    <xf numFmtId="0" fontId="70" fillId="0" borderId="0" xfId="782" applyFont="1" applyNumberFormat="1">
      <alignment vertical="center" wrapText="1"/>
    </xf>
    <xf numFmtId="0" fontId="27" fillId="0" borderId="42" xfId="783" applyFont="1" applyBorder="1" applyNumberFormat="1">
      <alignment vertical="center" wrapText="1"/>
    </xf>
    <xf numFmtId="0" fontId="23" fillId="37" borderId="23" xfId="784" applyFont="1" applyFill="1" applyBorder="1" applyNumberFormat="1">
      <alignment horizontal="center" vertical="center" wrapText="1"/>
    </xf>
    <xf numFmtId="0" fontId="27" fillId="40" borderId="23" xfId="787" applyFont="1" applyFill="1" applyBorder="1" applyNumberFormat="1">
      <alignment horizontal="left" vertical="center" wrapText="1"/>
    </xf>
    <xf numFmtId="0" fontId="23" fillId="0" borderId="42" xfId="788" applyFont="1" applyBorder="1" applyNumberFormat="1">
      <alignment horizontal="center" vertical="center" wrapText="1"/>
    </xf>
    <xf numFmtId="0" fontId="27" fillId="0" borderId="0" xfId="789" applyFont="1" applyNumberFormat="1">
      <alignment vertical="top" wrapText="1"/>
    </xf>
    <xf numFmtId="0" fontId="27" fillId="0" borderId="25" xfId="791" applyFont="1" applyBorder="1" applyNumberFormat="1">
      <alignment horizontal="left" vertical="top" wrapText="1" indent="1"/>
    </xf>
    <xf numFmtId="0" fontId="31" fillId="39" borderId="0" xfId="792" applyFont="1" applyFill="1" applyNumberFormat="1">
      <alignment horizontal="center" vertical="center" wrapText="1"/>
    </xf>
    <xf numFmtId="0" fontId="23" fillId="39" borderId="21" xfId="793" applyFont="1" applyFill="1" applyBorder="1" applyNumberFormat="1">
      <alignment horizontal="right" vertical="center" wrapText="1" indent="1"/>
    </xf>
    <xf numFmtId="0" fontId="27" fillId="37" borderId="23" xfId="795" applyFont="1" applyFill="1" applyBorder="1" applyNumberFormat="1">
      <alignment horizontal="left" vertical="center" wrapText="1" indent="1"/>
    </xf>
    <xf numFmtId="0" fontId="27" fillId="39" borderId="32" xfId="796" applyFont="1" applyFill="1" applyBorder="1" applyNumberFormat="1">
      <alignment horizontal="center" vertical="center" wrapText="1"/>
    </xf>
    <xf numFmtId="0" fontId="27" fillId="39" borderId="25" xfId="797" applyFont="1" applyFill="1" applyBorder="1" applyNumberFormat="1">
      <alignment horizontal="center" vertical="center" wrapText="1"/>
    </xf>
    <xf numFmtId="0" fontId="27" fillId="39" borderId="20" xfId="798" applyFont="1" applyFill="1" applyBorder="1" applyNumberFormat="1">
      <alignment horizontal="center" vertical="center" wrapText="1"/>
    </xf>
    <xf numFmtId="0" fontId="27" fillId="39" borderId="30" xfId="799" applyFont="1" applyFill="1" applyBorder="1" applyNumberFormat="1">
      <alignment horizontal="center" vertical="center" wrapText="1"/>
    </xf>
    <xf numFmtId="0" fontId="23" fillId="0" borderId="32" xfId="802" applyFont="1" applyBorder="1" applyNumberFormat="1">
      <alignment horizontal="left" vertical="center" wrapText="1"/>
    </xf>
    <xf numFmtId="0" fontId="70" fillId="39" borderId="0" xfId="803" applyFont="1" applyFill="1" applyNumberFormat="1">
      <alignment horizontal="center" vertical="top" wrapText="1"/>
    </xf>
    <xf numFmtId="0" fontId="23" fillId="37" borderId="21" xfId="804" applyFont="1" applyFill="1" applyBorder="1" applyNumberFormat="1">
      <alignment horizontal="left" vertical="center" wrapText="1" indent="1"/>
    </xf>
    <xf numFmtId="0" fontId="70" fillId="39" borderId="29" xfId="806" applyFont="1" applyFill="1" applyBorder="1" applyNumberFormat="1">
      <alignment horizontal="center" vertical="top" wrapText="1"/>
    </xf>
    <xf numFmtId="0" fontId="23" fillId="37" borderId="30" xfId="808" applyFont="1" applyFill="1" applyBorder="1" applyNumberFormat="1">
      <alignment horizontal="left" vertical="center" wrapText="1" indent="1"/>
    </xf>
    <xf numFmtId="0" fontId="27" fillId="0" borderId="23" xfId="809" applyFont="1" applyBorder="1" applyNumberFormat="1">
      <alignment vertical="top" wrapText="1"/>
    </xf>
    <xf numFmtId="0" fontId="37" fillId="0" borderId="23" xfId="814" applyFont="1" applyBorder="1" applyNumberFormat="1">
      <alignment horizontal="center" vertical="center"/>
    </xf>
    <xf numFmtId="0" fontId="27" fillId="39" borderId="23" xfId="816" applyFont="1" applyFill="1" applyBorder="1" applyNumberFormat="1">
      <alignment horizontal="left" vertical="center" wrapText="1"/>
    </xf>
    <xf numFmtId="0" fontId="27" fillId="0" borderId="23" xfId="817" applyFont="1" applyBorder="1" applyNumberFormat="1">
      <alignment horizontal="left" vertical="center" wrapText="1" indent="6"/>
    </xf>
    <xf numFmtId="0" fontId="27" fillId="37" borderId="21" xfId="818" applyFont="1" applyFill="1" applyBorder="1" applyNumberFormat="1">
      <alignment horizontal="left" vertical="center" wrapText="1"/>
    </xf>
    <xf numFmtId="0" fontId="27" fillId="37" borderId="25" xfId="819" applyFont="1" applyFill="1" applyBorder="1" applyNumberFormat="1">
      <alignment horizontal="left" vertical="center" wrapText="1"/>
    </xf>
    <xf numFmtId="0" fontId="27" fillId="37" borderId="20" xfId="820" applyFont="1" applyFill="1" applyBorder="1" applyNumberFormat="1">
      <alignment horizontal="left" vertical="center" wrapText="1"/>
    </xf>
    <xf numFmtId="0" fontId="49" fillId="0" borderId="23" xfId="821" applyFont="1" applyBorder="1" applyNumberFormat="1">
      <alignment vertical="top" wrapText="1"/>
    </xf>
    <xf numFmtId="0" fontId="37" fillId="0" borderId="21" xfId="822" applyFont="1" applyBorder="1" applyNumberFormat="1">
      <alignment horizontal="center" vertical="center"/>
    </xf>
    <xf numFmtId="0" fontId="46" fillId="39" borderId="0" xfId="823" applyFont="1" applyFill="1" applyNumberFormat="1">
      <alignment horizontal="center" vertical="center" wrapText="1"/>
    </xf>
    <xf numFmtId="0" fontId="27" fillId="0" borderId="29" xfId="824" applyFont="1" applyBorder="1" applyNumberFormat="1">
      <alignment vertical="center" wrapText="1"/>
    </xf>
    <xf numFmtId="0" fontId="27" fillId="39" borderId="23" xfId="825" applyFont="1" applyFill="1" applyBorder="1" applyNumberFormat="1">
      <alignment horizontal="left" vertical="center" wrapText="1" indent="1"/>
    </xf>
    <xf numFmtId="0" fontId="27" fillId="39" borderId="23" xfId="826" applyFont="1" applyFill="1" applyBorder="1" applyNumberFormat="1">
      <alignment horizontal="left" vertical="center" wrapText="1" indent="2"/>
    </xf>
    <xf numFmtId="0" fontId="27" fillId="39" borderId="23" xfId="827" applyFont="1" applyFill="1" applyBorder="1" applyNumberFormat="1">
      <alignment horizontal="left" vertical="center" wrapText="1" indent="3"/>
    </xf>
    <xf numFmtId="0" fontId="37" fillId="0" borderId="0" xfId="828" applyFont="1" applyNumberFormat="1">
      <alignment horizontal="center" vertical="center"/>
    </xf>
    <xf numFmtId="0" fontId="44" fillId="0" borderId="29" xfId="829" applyFont="1" applyBorder="1" applyNumberFormat="1">
      <alignment horizontal="center" vertical="center" wrapText="1"/>
    </xf>
    <xf numFmtId="0" fontId="27" fillId="39" borderId="23" xfId="830" applyFont="1" applyFill="1" applyBorder="1" applyNumberFormat="1">
      <alignment horizontal="left" vertical="center" wrapText="1" indent="4"/>
    </xf>
    <xf numFmtId="0" fontId="27" fillId="40" borderId="25" xfId="831" applyFont="1" applyFill="1" applyBorder="1" applyNumberFormat="1">
      <alignment horizontal="left" vertical="center" wrapText="1"/>
    </xf>
    <xf numFmtId="0" fontId="27" fillId="40" borderId="20" xfId="832" applyFont="1" applyFill="1" applyBorder="1" applyNumberFormat="1">
      <alignment horizontal="left" vertical="center" wrapText="1"/>
    </xf>
    <xf numFmtId="0" fontId="37" fillId="0" borderId="21" xfId="833" applyFont="1" applyBorder="1" applyNumberFormat="1">
      <alignment horizontal="center" vertical="center" wrapText="1"/>
    </xf>
    <xf numFmtId="0" fontId="44" fillId="0" borderId="29" xfId="834" applyFont="1" applyBorder="1" applyNumberFormat="1">
      <alignment vertical="center" wrapText="1"/>
    </xf>
    <xf numFmtId="0" fontId="27" fillId="39" borderId="23" xfId="835" applyFont="1" applyFill="1" applyBorder="1" applyNumberFormat="1">
      <alignment horizontal="left" vertical="center" wrapText="1" indent="5"/>
    </xf>
    <xf numFmtId="0" fontId="27" fillId="40" borderId="23" xfId="836" applyFont="1" applyFill="1" applyBorder="1" applyNumberFormat="1">
      <alignment horizontal="left" vertical="center" wrapText="1" indent="6"/>
    </xf>
    <xf numFmtId="0" fontId="49" fillId="0" borderId="32" xfId="840" applyFont="1" applyBorder="1" applyNumberFormat="1">
      <alignment horizontal="left" vertical="top" wrapText="1"/>
    </xf>
    <xf numFmtId="0" fontId="49" fillId="0" borderId="42" xfId="842" applyFont="1" applyBorder="1" applyNumberFormat="1">
      <alignment horizontal="left" vertical="top" wrapText="1"/>
    </xf>
    <xf numFmtId="0" fontId="49" fillId="0" borderId="30" xfId="846" applyFont="1" applyBorder="1" applyNumberFormat="1">
      <alignment horizontal="left" vertical="top" wrapText="1"/>
    </xf>
    <xf numFmtId="0" fontId="27" fillId="39" borderId="0" xfId="859" applyFont="1" applyFill="1" applyNumberFormat="1">
      <alignment horizontal="left" vertical="center" wrapText="1"/>
    </xf>
    <xf numFmtId="0" fontId="23" fillId="39" borderId="23" xfId="860" applyFont="1" applyFill="1" applyBorder="1" applyNumberFormat="1">
      <alignment horizontal="right" vertical="center" wrapText="1" indent="1"/>
    </xf>
    <xf numFmtId="0" fontId="23" fillId="0" borderId="25" xfId="861" applyFont="1" applyBorder="1" applyNumberFormat="1">
      <alignment vertical="center"/>
    </xf>
    <xf numFmtId="0" fontId="27" fillId="39" borderId="45" xfId="862" applyFont="1" applyFill="1" applyBorder="1" applyNumberFormat="1">
      <alignment vertical="center" wrapText="1"/>
    </xf>
    <xf numFmtId="0" fontId="50" fillId="0" borderId="45" xfId="863" applyFont="1" applyBorder="1" applyNumberFormat="1">
      <alignment horizontal="center" vertical="center" wrapText="1"/>
    </xf>
    <xf numFmtId="0" fontId="23" fillId="39" borderId="21" xfId="864" applyFont="1" applyFill="1" applyBorder="1" applyNumberFormat="1">
      <alignment horizontal="center" vertical="center" wrapText="1"/>
    </xf>
    <xf numFmtId="0" fontId="23" fillId="39" borderId="25" xfId="865" applyFont="1" applyFill="1" applyBorder="1" applyNumberFormat="1">
      <alignment horizontal="center" vertical="center" wrapText="1"/>
    </xf>
    <xf numFmtId="0" fontId="23" fillId="39" borderId="20" xfId="866" applyFont="1" applyFill="1" applyBorder="1" applyNumberFormat="1">
      <alignment horizontal="center" vertical="center" wrapText="1"/>
    </xf>
    <xf numFmtId="0" fontId="37" fillId="0" borderId="32" xfId="868" applyFont="1" applyBorder="1" applyNumberFormat="1">
      <alignment horizontal="center" vertical="center" wrapText="1"/>
    </xf>
    <xf numFmtId="0" fontId="27" fillId="39" borderId="42" xfId="869" applyFont="1" applyFill="1" applyBorder="1" applyNumberFormat="1">
      <alignment horizontal="center" vertical="center" wrapText="1"/>
    </xf>
    <xf numFmtId="0" fontId="27" fillId="0" borderId="30" xfId="871" applyFont="1" applyBorder="1" applyNumberFormat="1">
      <alignment vertical="center" wrapText="1"/>
    </xf>
    <xf numFmtId="0" fontId="81" fillId="39" borderId="0" xfId="873" applyFont="1" applyFill="1" applyNumberFormat="1">
      <alignment vertical="center" wrapText="1"/>
    </xf>
    <xf numFmtId="0" fontId="82" fillId="39" borderId="0" xfId="874" applyFont="1" applyFill="1" applyNumberFormat="1">
      <alignment vertical="center" wrapText="1"/>
    </xf>
    <xf numFmtId="0" fontId="44" fillId="39" borderId="26" xfId="877" applyFont="1" applyFill="1" applyBorder="1" applyNumberFormat="1">
      <alignment horizontal="center" vertical="center" wrapText="1"/>
    </xf>
    <xf numFmtId="0" fontId="65" fillId="39" borderId="26" xfId="878" applyFont="1" applyFill="1" applyBorder="1" applyNumberFormat="1">
      <alignment horizontal="center" vertical="center" wrapText="1"/>
    </xf>
    <xf numFmtId="0" fontId="37" fillId="0" borderId="0" xfId="879" applyFont="1" applyNumberFormat="1">
      <alignment horizontal="left" vertical="center" indent="1"/>
    </xf>
    <xf numFmtId="0" fontId="23" fillId="39" borderId="26" xfId="885" applyFont="1" applyFill="1" applyBorder="1" applyNumberFormat="1">
      <alignment horizontal="center" vertical="center" wrapText="1"/>
    </xf>
    <xf numFmtId="0" fontId="44" fillId="0" borderId="32" xfId="886" applyFont="1" applyBorder="1" applyNumberFormat="1">
      <alignment horizontal="center" vertical="center" wrapText="1"/>
    </xf>
    <xf numFmtId="0" fontId="44" fillId="0" borderId="23" xfId="887" applyFont="1" applyBorder="1" applyNumberFormat="1">
      <alignment horizontal="left" vertical="center" wrapText="1" indent="4"/>
    </xf>
    <xf numFmtId="0" fontId="44" fillId="0" borderId="23" xfId="888" applyFont="1" applyBorder="1" applyNumberFormat="1">
      <alignment horizontal="left" vertical="center" wrapText="1" indent="6"/>
    </xf>
    <xf numFmtId="0" fontId="44" fillId="0" borderId="21" xfId="889" applyFont="1" applyBorder="1" applyNumberFormat="1">
      <alignment horizontal="left" vertical="center" wrapText="1"/>
    </xf>
    <xf numFmtId="0" fontId="44" fillId="0" borderId="25" xfId="890" applyFont="1" applyBorder="1" applyNumberFormat="1">
      <alignment horizontal="left" vertical="center" wrapText="1"/>
    </xf>
    <xf numFmtId="0" fontId="44" fillId="0" borderId="20" xfId="891" applyFont="1" applyBorder="1" applyNumberFormat="1">
      <alignment horizontal="left" vertical="center" wrapText="1"/>
    </xf>
    <xf numFmtId="0" fontId="44" fillId="0" borderId="23" xfId="892" applyFont="1" applyBorder="1" applyNumberFormat="1">
      <alignment vertical="top" wrapText="1"/>
    </xf>
    <xf numFmtId="0" fontId="44" fillId="0" borderId="0" xfId="897" applyFont="1" applyNumberFormat="1">
      <alignment horizontal="center" vertical="center"/>
    </xf>
    <xf numFmtId="0" fontId="27" fillId="39" borderId="32" xfId="898" applyFont="1" applyFill="1" applyBorder="1" applyNumberFormat="1">
      <alignment horizontal="left" vertical="center" wrapText="1"/>
    </xf>
    <xf numFmtId="0" fontId="27" fillId="39" borderId="32" xfId="899" applyFont="1" applyFill="1" applyBorder="1" applyNumberFormat="1">
      <alignment horizontal="left" vertical="center" wrapText="1" indent="2"/>
    </xf>
    <xf numFmtId="0" fontId="27" fillId="0" borderId="32" xfId="900" applyFont="1" applyBorder="1" applyNumberFormat="1">
      <alignment horizontal="left" vertical="center" wrapText="1" indent="6"/>
    </xf>
    <xf numFmtId="0" fontId="27" fillId="37" borderId="33" xfId="901" applyFont="1" applyFill="1" applyBorder="1" applyNumberFormat="1">
      <alignment horizontal="left" vertical="center" wrapText="1"/>
    </xf>
    <xf numFmtId="0" fontId="27" fillId="37" borderId="26" xfId="902" applyFont="1" applyFill="1" applyBorder="1" applyNumberFormat="1">
      <alignment horizontal="left" vertical="center" wrapText="1"/>
    </xf>
    <xf numFmtId="0" fontId="27" fillId="37" borderId="27" xfId="903" applyFont="1" applyFill="1" applyBorder="1" applyNumberFormat="1">
      <alignment horizontal="left" vertical="center" wrapText="1"/>
    </xf>
    <xf numFmtId="0" fontId="27" fillId="37" borderId="23" xfId="904" applyFont="1" applyFill="1" applyBorder="1" applyNumberFormat="1">
      <alignment horizontal="left" vertical="center" wrapText="1"/>
    </xf>
    <xf numFmtId="0" fontId="49" fillId="0" borderId="20" xfId="905" applyFont="1" applyBorder="1" applyNumberFormat="1">
      <alignment vertical="top" wrapText="1"/>
    </xf>
    <xf numFmtId="0" fontId="44" fillId="0" borderId="20" xfId="906" applyFont="1" applyBorder="1" applyNumberFormat="1">
      <alignment vertical="top" wrapText="1"/>
    </xf>
    <xf numFmtId="0" fontId="27" fillId="39" borderId="30" xfId="907" applyFont="1" applyFill="1" applyBorder="1" applyNumberFormat="1">
      <alignment horizontal="left" vertical="center" wrapText="1"/>
    </xf>
    <xf numFmtId="0" fontId="27" fillId="40" borderId="30" xfId="908" applyFont="1" applyFill="1" applyBorder="1" applyNumberFormat="1">
      <alignment horizontal="left" vertical="center" wrapText="1" indent="6"/>
    </xf>
    <xf numFmtId="0" fontId="27" fillId="0" borderId="30" xfId="909" applyFont="1" applyBorder="1" applyNumberFormat="1">
      <alignment horizontal="left" vertical="center" wrapText="1" indent="6"/>
    </xf>
    <xf numFmtId="0" fontId="27" fillId="0" borderId="23" xfId="913" applyFont="1" applyBorder="1" applyNumberFormat="1">
      <alignment horizontal="center" vertical="center"/>
    </xf>
    <xf numFmtId="0" fontId="27" fillId="0" borderId="21" xfId="914" applyFont="1" applyBorder="1" applyNumberFormat="1">
      <alignment horizontal="center" vertical="center"/>
    </xf>
    <xf numFmtId="0" fontId="27" fillId="0" borderId="0" xfId="915" applyFont="1" applyNumberFormat="1">
      <alignment horizontal="center" vertical="center"/>
    </xf>
    <xf numFmtId="0" fontId="27" fillId="40" borderId="27" xfId="916" applyFont="1" applyFill="1" applyBorder="1" applyNumberFormat="1">
      <alignment horizontal="left" vertical="center" wrapText="1"/>
    </xf>
    <xf numFmtId="0" fontId="49" fillId="0" borderId="32" xfId="919" applyFont="1" applyBorder="1" applyNumberFormat="1">
      <alignment vertical="top" wrapText="1"/>
    </xf>
    <xf numFmtId="0" fontId="27" fillId="35" borderId="23" xfId="920" applyFont="1" applyFill="1" applyBorder="1" applyNumberFormat="1">
      <alignment horizontal="left" vertical="center" wrapText="1" indent="7"/>
      <protection locked="0"/>
    </xf>
    <xf numFmtId="0" fontId="27" fillId="41" borderId="25" xfId="923" applyFont="1" applyFill="1" applyBorder="1" applyNumberFormat="1">
      <alignment horizontal="left" vertical="center" wrapText="1" indent="6"/>
    </xf>
    <xf numFmtId="0" fontId="27" fillId="0" borderId="26" xfId="929" applyFont="1" applyBorder="1" applyNumberFormat="1">
      <alignment horizontal="center" vertical="center" wrapText="1"/>
    </xf>
    <xf numFmtId="0" fontId="27" fillId="0" borderId="45" xfId="930" applyFont="1" applyBorder="1" applyNumberFormat="1">
      <alignment horizontal="center" vertical="center" wrapText="1"/>
    </xf>
    <xf numFmtId="0" fontId="55" fillId="0" borderId="0" xfId="931" applyFont="1" applyNumberFormat="1">
      <alignment horizontal="left" vertical="center" indent="1"/>
    </xf>
    <xf numFmtId="0" fontId="55" fillId="0" borderId="0" xfId="932" applyFont="1" applyNumberFormat="1">
      <alignment horizontal="center" vertical="center"/>
    </xf>
    <xf numFmtId="0" fontId="45" fillId="39" borderId="0" xfId="933" applyFont="1" applyFill="1" applyNumberFormat="1">
      <alignment horizontal="center" vertical="center" wrapText="1"/>
    </xf>
    <xf numFmtId="0" fontId="44" fillId="0" borderId="23" xfId="934" applyFont="1" applyBorder="1" applyNumberFormat="1">
      <alignment horizontal="left" vertical="center" wrapText="1" indent="5"/>
    </xf>
    <xf numFmtId="0" fontId="44" fillId="0" borderId="29" xfId="935" applyFont="1" applyBorder="1" applyNumberFormat="1">
      <alignment horizontal="center" vertical="top" wrapText="1"/>
    </xf>
    <xf numFmtId="0" fontId="50" fillId="0" borderId="23" xfId="937" applyFont="1" applyBorder="1" applyNumberFormat="1">
      <alignment horizontal="center" vertical="center" wrapText="1"/>
    </xf>
    <xf numFmtId="0" fontId="27" fillId="0" borderId="23" xfId="938" applyFont="1" applyBorder="1" applyNumberFormat="1">
      <alignment horizontal="left" vertical="center" wrapText="1" indent="4"/>
    </xf>
    <xf numFmtId="0" fontId="27" fillId="39" borderId="42" xfId="939" applyFont="1" applyFill="1" applyBorder="1" applyNumberFormat="1">
      <alignment horizontal="left" vertical="center" wrapText="1"/>
    </xf>
    <xf numFmtId="0" fontId="44" fillId="0" borderId="29" xfId="951" applyFont="1" applyBorder="1" applyNumberFormat="1">
      <alignment horizontal="left" vertical="center" wrapText="1" indent="1"/>
    </xf>
    <xf numFmtId="0" fontId="37" fillId="0" borderId="0" xfId="954" applyFont="1" applyNumberFormat="1">
      <alignment horizontal="left" vertical="center"/>
    </xf>
    <xf numFmtId="0" fontId="83" fillId="39" borderId="0" xfId="955" applyFont="1" applyFill="1" applyNumberFormat="1">
      <alignment vertical="center" wrapText="1"/>
    </xf>
    <xf numFmtId="0" fontId="27" fillId="39" borderId="33" xfId="956" applyFont="1" applyFill="1" applyBorder="1" applyNumberFormat="1">
      <alignment horizontal="center" vertical="center" wrapText="1"/>
    </xf>
    <xf numFmtId="0" fontId="23" fillId="39" borderId="33" xfId="957" applyFont="1" applyFill="1" applyBorder="1" applyNumberFormat="1">
      <alignment horizontal="center" vertical="center" wrapText="1"/>
    </xf>
    <xf numFmtId="0" fontId="23" fillId="39" borderId="27" xfId="958" applyFont="1" applyFill="1" applyBorder="1" applyNumberFormat="1">
      <alignment horizontal="center" vertical="center" wrapText="1"/>
    </xf>
    <xf numFmtId="0" fontId="27" fillId="39" borderId="28" xfId="959" applyFont="1" applyFill="1" applyBorder="1" applyNumberFormat="1">
      <alignment horizontal="center" vertical="center" wrapText="1"/>
    </xf>
    <xf numFmtId="0" fontId="23" fillId="39" borderId="28" xfId="960" applyFont="1" applyFill="1" applyBorder="1" applyNumberFormat="1">
      <alignment horizontal="center" vertical="center" wrapText="1"/>
    </xf>
    <xf numFmtId="0" fontId="23" fillId="39" borderId="0" xfId="961" applyFont="1" applyFill="1" applyNumberFormat="1">
      <alignment horizontal="center" vertical="center" wrapText="1"/>
    </xf>
    <xf numFmtId="0" fontId="23" fillId="39" borderId="29" xfId="962" applyFont="1" applyFill="1" applyBorder="1" applyNumberFormat="1">
      <alignment horizontal="center" vertical="center" wrapText="1"/>
    </xf>
    <xf numFmtId="0" fontId="27" fillId="37" borderId="23" xfId="963" applyFont="1" applyFill="1" applyBorder="1" applyNumberFormat="1">
      <alignment horizontal="center" vertical="center" wrapText="1"/>
    </xf>
    <xf numFmtId="0" fontId="27" fillId="38" borderId="23" xfId="964" applyFont="1" applyFill="1" applyBorder="1" applyNumberFormat="1">
      <alignment horizontal="center" vertical="center" wrapText="1"/>
      <protection locked="0"/>
    </xf>
    <xf numFmtId="0" fontId="27" fillId="39" borderId="35" xfId="965" applyFont="1" applyFill="1" applyBorder="1" applyNumberFormat="1">
      <alignment horizontal="center" vertical="center" wrapText="1"/>
    </xf>
    <xf numFmtId="0" fontId="23" fillId="39" borderId="35" xfId="966" applyFont="1" applyFill="1" applyBorder="1" applyNumberFormat="1">
      <alignment horizontal="center" vertical="center" wrapText="1"/>
    </xf>
    <xf numFmtId="0" fontId="23" fillId="39" borderId="45" xfId="967" applyFont="1" applyFill="1" applyBorder="1" applyNumberFormat="1">
      <alignment horizontal="center" vertical="center" wrapText="1"/>
    </xf>
    <xf numFmtId="0" fontId="23" fillId="39" borderId="34" xfId="968" applyFont="1" applyFill="1" applyBorder="1" applyNumberFormat="1">
      <alignment horizontal="center" vertical="center" wrapText="1"/>
    </xf>
    <xf numFmtId="0" fontId="27" fillId="0" borderId="23" xfId="969" applyFont="1" applyBorder="1" applyNumberFormat="1">
      <alignment horizontal="left" vertical="center" wrapText="1" indent="1"/>
    </xf>
    <xf numFmtId="0" fontId="83" fillId="0" borderId="0" xfId="972" applyFont="1" applyNumberFormat="1">
      <alignment vertical="center" wrapText="1"/>
    </xf>
    <xf numFmtId="0" fontId="21" fillId="0" borderId="26" xfId="973" applyFont="1" applyBorder="1" applyNumberFormat="1">
      <alignment horizontal="left" vertical="center" wrapText="1" indent="1"/>
    </xf>
    <xf numFmtId="0" fontId="21" fillId="0" borderId="45" xfId="974" applyFont="1" applyBorder="1" applyNumberFormat="1">
      <alignment horizontal="left" vertical="center" wrapText="1" indent="1"/>
    </xf>
    <xf numFmtId="0" fontId="27" fillId="0" borderId="0" xfId="987" applyFont="1" applyNumberFormat="1">
      <alignment horizontal="left" vertical="center"/>
    </xf>
    <xf numFmtId="0" fontId="27" fillId="38" borderId="20" xfId="988" applyFont="1" applyFill="1" applyBorder="1" applyNumberFormat="1">
      <alignment horizontal="center" vertical="center" wrapText="1"/>
      <protection locked="0"/>
    </xf>
    <xf numFmtId="0" fontId="27" fillId="39" borderId="34" xfId="989" applyFont="1" applyFill="1" applyBorder="1" applyNumberFormat="1">
      <alignment horizontal="center" vertical="center" wrapText="1"/>
    </xf>
    <xf numFmtId="0" fontId="23" fillId="0" borderId="23" xfId="991" applyFont="1" applyBorder="1" applyNumberFormat="1">
      <alignment horizontal="left" vertical="center" wrapText="1" indent="2"/>
    </xf>
    <xf numFmtId="0" fontId="27" fillId="0" borderId="0" xfId="994" applyFont="1" applyNumberFormat="1">
      <alignment horizontal="right" vertical="top" wrapText="1"/>
    </xf>
    <xf numFmtId="0" fontId="23" fillId="0" borderId="23" xfId="995" applyFont="1" applyBorder="1" applyNumberFormat="1">
      <alignment horizontal="left" vertical="top" wrapText="1"/>
    </xf>
    <xf numFmtId="0" fontId="27" fillId="0" borderId="26" xfId="996" applyFont="1" applyBorder="1" applyNumberFormat="1">
      <alignment vertical="center" wrapText="1"/>
    </xf>
    <xf numFmtId="0" fontId="27" fillId="0" borderId="26" xfId="1000" applyFont="1" applyBorder="1" applyNumberFormat="1">
      <alignment horizontal="left" vertical="top" wrapText="1"/>
    </xf>
    <xf numFmtId="0" fontId="27" fillId="0" borderId="21" xfId="1001" applyFont="1" applyBorder="1" applyNumberFormat="1">
      <alignment vertical="center" wrapText="1"/>
    </xf>
    <xf numFmtId="0" fontId="27" fillId="0" borderId="25" xfId="1002" applyFont="1" applyBorder="1" applyNumberFormat="1">
      <alignment horizontal="right" vertical="center" wrapText="1" indent="1"/>
    </xf>
    <xf numFmtId="0" fontId="27" fillId="0" borderId="20" xfId="1003" applyFont="1" applyBorder="1" applyNumberFormat="1">
      <alignment horizontal="right" vertical="center" wrapText="1" indent="1"/>
    </xf>
    <xf numFmtId="0" fontId="27" fillId="37" borderId="21" xfId="1004" applyFont="1" applyFill="1" applyBorder="1" applyNumberFormat="1">
      <alignment horizontal="left" vertical="top" wrapText="1" indent="1"/>
    </xf>
    <xf numFmtId="0" fontId="27" fillId="37" borderId="20" xfId="1005" applyFont="1" applyFill="1" applyBorder="1" applyNumberFormat="1">
      <alignment horizontal="left" vertical="top" wrapText="1" indent="1"/>
    </xf>
    <xf numFmtId="0" fontId="27" fillId="0" borderId="21" xfId="1006" applyFont="1" applyBorder="1" applyNumberFormat="1">
      <alignment horizontal="right" vertical="center" wrapText="1"/>
    </xf>
    <xf numFmtId="0" fontId="27" fillId="0" borderId="25" xfId="1007" applyFont="1" applyBorder="1" applyNumberFormat="1">
      <alignment horizontal="right" vertical="center" wrapText="1"/>
    </xf>
    <xf numFmtId="0" fontId="27" fillId="0" borderId="20" xfId="1011" applyFont="1" applyBorder="1" applyNumberFormat="1">
      <alignment vertical="center" wrapText="1"/>
    </xf>
    <xf numFmtId="0" fontId="87" fillId="0" borderId="0" xfId="1015" applyFont="1" applyNumberFormat="1">
      <alignment vertical="center" wrapText="1"/>
    </xf>
    <xf numFmtId="0" fontId="37" fillId="0" borderId="23" xfId="1019" applyFont="1" applyBorder="1" applyNumberFormat="1">
      <alignment vertical="top" wrapText="1"/>
    </xf>
    <xf numFmtId="0" fontId="23" fillId="0" borderId="21" xfId="1020" applyFont="1" applyBorder="1" applyNumberFormat="1">
      <alignment horizontal="center" vertical="center"/>
    </xf>
    <xf numFmtId="0" fontId="37" fillId="41" borderId="20" xfId="1024" applyFont="1" applyFill="1" applyBorder="1" applyNumberFormat="1">
      <alignment vertical="center" wrapText="1"/>
    </xf>
    <xf numFmtId="0" fontId="27" fillId="41" borderId="26" xfId="1025" applyFont="1" applyFill="1" applyBorder="1" applyNumberFormat="1">
      <alignment vertical="center" wrapText="1"/>
    </xf>
    <xf numFmtId="0" fontId="27" fillId="41" borderId="45" xfId="1026" applyFont="1" applyFill="1" applyBorder="1" applyNumberFormat="1">
      <alignment vertical="center" wrapText="1"/>
    </xf>
    <xf numFmtId="0" fontId="27" fillId="35" borderId="21" xfId="1027" applyFont="1" applyFill="1" applyBorder="1" applyNumberFormat="1">
      <alignment horizontal="left" vertical="center" wrapText="1"/>
      <protection locked="0"/>
    </xf>
    <xf numFmtId="0" fontId="27" fillId="35" borderId="25" xfId="1028" applyFont="1" applyFill="1" applyBorder="1" applyNumberFormat="1">
      <alignment horizontal="left" vertical="center" wrapText="1"/>
      <protection locked="0"/>
    </xf>
    <xf numFmtId="0" fontId="27" fillId="35" borderId="20" xfId="1029" applyFont="1" applyFill="1" applyBorder="1" applyNumberFormat="1">
      <alignment horizontal="left" vertical="center" wrapText="1"/>
      <protection locked="0"/>
    </xf>
    <xf numFmtId="0" fontId="49" fillId="0" borderId="23" xfId="1034" applyFont="1" applyBorder="1" applyNumberFormat="1">
      <alignment horizontal="left" vertical="top" wrapText="1"/>
    </xf>
    <xf numFmtId="0" fontId="88" fillId="39" borderId="0" xfId="1036" applyFont="1" applyFill="1" applyNumberFormat="1">
      <alignment horizontal="center" vertical="center" wrapText="1"/>
    </xf>
    <xf numFmtId="0" fontId="44" fillId="39" borderId="23" xfId="1037" applyFont="1" applyFill="1" applyBorder="1" applyNumberFormat="1">
      <alignment horizontal="left" vertical="center" wrapText="1" indent="3"/>
    </xf>
    <xf numFmtId="0" fontId="44" fillId="0" borderId="26" xfId="1043" applyFont="1" applyBorder="1" applyNumberFormat="1">
      <alignment horizontal="left" vertical="center" wrapText="1"/>
    </xf>
    <xf numFmtId="0" fontId="27" fillId="0" borderId="66" xfId="1044" applyFont="1" applyBorder="1" applyNumberFormat="1">
      <alignment horizontal="center" vertical="center" wrapText="1"/>
    </xf>
    <xf numFmtId="0" fontId="27" fillId="38" borderId="23" xfId="1045" applyFont="1" applyFill="1" applyBorder="1" applyNumberFormat="1">
      <alignment horizontal="left" vertical="center" wrapText="1" indent="2"/>
      <protection locked="0"/>
    </xf>
    <xf numFmtId="0" fontId="44" fillId="0" borderId="66" xfId="1046" applyFont="1" applyBorder="1" applyNumberFormat="1">
      <alignment horizontal="center" vertical="center" wrapText="1"/>
    </xf>
    <xf numFmtId="0" fontId="44" fillId="0" borderId="23" xfId="1047" applyFont="1" applyBorder="1" applyNumberFormat="1">
      <alignment horizontal="left" vertical="center" wrapText="1" indent="2"/>
    </xf>
    <xf numFmtId="0" fontId="27" fillId="0" borderId="23" xfId="1048" applyFont="1" applyBorder="1" applyNumberFormat="1">
      <alignment horizontal="left" vertical="center" wrapText="1" indent="3"/>
    </xf>
    <xf numFmtId="0" fontId="27" fillId="35" borderId="23" xfId="1050" applyFont="1" applyFill="1" applyBorder="1" applyNumberFormat="1">
      <alignment horizontal="left" vertical="center" wrapText="1"/>
      <protection locked="0"/>
    </xf>
    <xf numFmtId="0" fontId="27" fillId="0" borderId="20" xfId="1051" applyFont="1" applyBorder="1" applyNumberFormat="1">
      <alignment vertical="top" wrapText="1"/>
    </xf>
    <xf numFmtId="0" fontId="27" fillId="0" borderId="27" xfId="1053" applyFont="1" applyBorder="1" applyNumberFormat="1">
      <alignment vertical="center" wrapText="1"/>
    </xf>
    <xf numFmtId="0" fontId="80" fillId="39" borderId="0" xfId="1054" applyFont="1" applyFill="1" applyNumberFormat="1">
      <alignment horizontal="right" vertical="center"/>
    </xf>
    <xf numFmtId="0" fontId="27" fillId="37" borderId="21" xfId="1055" applyFont="1" applyFill="1" applyBorder="1" applyNumberFormat="1">
      <alignment horizontal="left" vertical="top" wrapText="1"/>
    </xf>
    <xf numFmtId="0" fontId="55" fillId="0" borderId="0" xfId="1058" applyFont="1" applyNumberFormat="1">
      <alignment horizontal="center" vertical="center" wrapText="1"/>
    </xf>
    <xf numFmtId="0" fontId="55" fillId="0" borderId="23" xfId="1060" applyFont="1" applyBorder="1" applyNumberFormat="1">
      <alignment horizontal="left" vertical="center" wrapText="1" indent="2"/>
    </xf>
    <xf numFmtId="0" fontId="55" fillId="0" borderId="23" xfId="1061" applyFont="1" applyBorder="1" applyNumberFormat="1">
      <alignment horizontal="center" vertical="center" wrapText="1"/>
    </xf>
    <xf numFmtId="0" fontId="55" fillId="0" borderId="23" xfId="1062" applyFont="1" applyBorder="1" applyNumberFormat="1">
      <alignment vertical="center" wrapText="1"/>
    </xf>
    <xf numFmtId="0" fontId="55" fillId="0" borderId="66" xfId="1063" applyFont="1" applyBorder="1" applyNumberFormat="1">
      <alignment horizontal="center" vertical="center" wrapText="1"/>
    </xf>
    <xf numFmtId="0" fontId="55" fillId="0" borderId="23" xfId="1064" applyFont="1" applyBorder="1" applyNumberFormat="1">
      <alignment horizontal="left" vertical="center" wrapText="1" indent="3"/>
    </xf>
    <xf numFmtId="0" fontId="27" fillId="0" borderId="23" xfId="1067" applyFont="1" applyBorder="1" applyNumberFormat="1">
      <alignment horizontal="left" vertical="center" wrapText="1" indent="2"/>
    </xf>
    <xf numFmtId="0" fontId="37" fillId="0" borderId="0" xfId="1070" applyFont="1" applyNumberFormat="1">
      <alignment horizontal="left" vertical="center" wrapText="1"/>
    </xf>
    <xf numFmtId="0" fontId="44" fillId="0" borderId="23" xfId="1072" applyFont="1" applyBorder="1" applyNumberFormat="1">
      <alignment horizontal="left" vertical="center" wrapText="1" indent="3"/>
    </xf>
    <xf numFmtId="0" fontId="44" fillId="0" borderId="32" xfId="1074" applyFont="1" applyBorder="1" applyNumberFormat="1">
      <alignment vertical="top" wrapText="1"/>
    </xf>
    <xf numFmtId="0" fontId="27" fillId="0" borderId="21" xfId="1075" applyFont="1" applyBorder="1" applyNumberFormat="1">
      <alignment horizontal="left" vertical="center" wrapText="1" indent="2"/>
    </xf>
    <xf numFmtId="0" fontId="27" fillId="0" borderId="21" xfId="1077" applyFont="1" applyBorder="1" applyNumberFormat="1">
      <alignment horizontal="left" vertical="center" wrapText="1" indent="1"/>
    </xf>
    <xf numFmtId="0" fontId="44" fillId="0" borderId="42" xfId="1084" applyFont="1" applyBorder="1" applyNumberFormat="1">
      <alignment horizontal="left" vertical="center" wrapText="1" indent="1"/>
    </xf>
    <xf numFmtId="0" fontId="44" fillId="0" borderId="42" xfId="1085" applyFont="1" applyBorder="1" applyNumberFormat="1">
      <alignment horizontal="center" vertical="center" wrapText="1"/>
    </xf>
    <xf numFmtId="0" fontId="44" fillId="0" borderId="32" xfId="1086" applyFont="1" applyBorder="1" applyNumberFormat="1">
      <alignment vertical="center" wrapText="1"/>
    </xf>
    <xf numFmtId="0" fontId="44" fillId="0" borderId="30" xfId="1090" applyFont="1" applyBorder="1" applyNumberFormat="1">
      <alignment horizontal="left" vertical="center" wrapText="1" indent="1"/>
    </xf>
    <xf numFmtId="0" fontId="44" fillId="0" borderId="32" xfId="1091" applyFont="1" applyBorder="1" applyNumberFormat="1">
      <alignment horizontal="left" vertical="center" wrapText="1" indent="1"/>
    </xf>
    <xf numFmtId="0" fontId="67" fillId="0" borderId="0" xfId="1093" applyFont="1" applyNumberFormat="1">
      <alignment vertical="center" wrapText="1"/>
    </xf>
    <xf numFmtId="0" fontId="27" fillId="0" borderId="45" xfId="1094" applyFont="1" applyBorder="1" applyNumberFormat="1">
      <alignment vertical="center" wrapText="1"/>
    </xf>
    <xf numFmtId="0" fontId="84" fillId="39" borderId="0" xfId="1095" applyFont="1" applyFill="1" applyNumberFormat="1">
      <alignment horizontal="right" vertical="center"/>
    </xf>
    <xf numFmtId="0" fontId="44" fillId="0" borderId="21" xfId="1101" applyFont="1" applyBorder="1" applyNumberFormat="1">
      <alignment vertical="center" wrapText="1"/>
    </xf>
    <xf numFmtId="0" fontId="44" fillId="0" borderId="25" xfId="1102" applyFont="1" applyBorder="1" applyNumberFormat="1">
      <alignment horizontal="right" vertical="center" wrapText="1" indent="1"/>
    </xf>
    <xf numFmtId="0" fontId="44" fillId="0" borderId="20" xfId="1103" applyFont="1" applyBorder="1" applyNumberFormat="1">
      <alignment horizontal="right" vertical="center" wrapText="1" indent="1"/>
    </xf>
    <xf numFmtId="0" fontId="44" fillId="0" borderId="21" xfId="1104" applyFont="1" applyBorder="1" applyNumberFormat="1">
      <alignment horizontal="left" vertical="top" wrapText="1"/>
    </xf>
    <xf numFmtId="0" fontId="89" fillId="0" borderId="0" xfId="1106" applyFont="1" applyNumberFormat="1">
      <alignment vertical="center" wrapText="1"/>
    </xf>
    <xf numFmtId="0" fontId="44" fillId="0" borderId="45" xfId="1113" applyFont="1" applyBorder="1" applyNumberFormat="1">
      <alignment vertical="center" wrapText="1"/>
    </xf>
    <xf numFmtId="0" fontId="27" fillId="37" borderId="20" xfId="1114" applyFont="1" applyFill="1" applyBorder="1" applyNumberFormat="1">
      <alignment horizontal="left" vertical="top" wrapText="1"/>
    </xf>
    <xf numFmtId="0" fontId="90" fillId="0" borderId="28" xfId="1117" applyFont="1" applyBorder="1" applyNumberFormat="1">
      <alignment vertical="center" wrapText="1"/>
    </xf>
    <xf numFmtId="0" fontId="27" fillId="0" borderId="52" xfId="1122" applyFont="1" applyBorder="1" applyNumberFormat="1">
      <alignment horizontal="left" vertical="center" wrapText="1"/>
    </xf>
    <xf numFmtId="0" fontId="27" fillId="0" borderId="54" xfId="1126" applyFont="1" applyBorder="1" applyNumberFormat="1">
      <alignment horizontal="left" vertical="center" wrapText="1" indent="1"/>
    </xf>
    <xf numFmtId="0" fontId="27" fillId="0" borderId="54" xfId="1130" applyFont="1" applyBorder="1" applyNumberFormat="1">
      <alignment horizontal="left" vertical="center" wrapText="1"/>
    </xf>
    <xf numFmtId="0" fontId="27" fillId="0" borderId="49" xfId="1132" applyFont="1" applyBorder="1" applyNumberFormat="1">
      <alignment horizontal="left" vertical="center" wrapText="1" indent="1"/>
    </xf>
    <xf numFmtId="0" fontId="27" fillId="0" borderId="49" xfId="1134" applyFont="1" applyBorder="1" applyNumberFormat="1">
      <alignment horizontal="left" vertical="center" wrapText="1"/>
    </xf>
    <xf numFmtId="0" fontId="27" fillId="0" borderId="49" xfId="1135" applyFont="1" applyBorder="1" applyNumberFormat="1">
      <alignment horizontal="left" vertical="center" wrapText="1" indent="2"/>
    </xf>
    <xf numFmtId="0" fontId="27" fillId="0" borderId="71" xfId="1138" applyFont="1" applyBorder="1" applyNumberFormat="1">
      <alignment horizontal="left" vertical="center" wrapText="1"/>
    </xf>
    <xf numFmtId="0" fontId="37" fillId="53" borderId="23" xfId="1145" applyFont="1" applyFill="1" applyBorder="1" applyNumberFormat="1">
      <alignment horizontal="left" vertical="center" wrapText="1"/>
    </xf>
    <xf numFmtId="0" fontId="27" fillId="49" borderId="23" xfId="1146" applyFont="1" applyFill="1" applyBorder="1" applyNumberFormat="1">
      <alignment vertical="center"/>
    </xf>
    <xf numFmtId="0" fontId="27" fillId="0" borderId="26" xfId="1150" applyFont="1" applyBorder="1" applyNumberFormat="1">
      <alignment horizontal="right" vertical="center" wrapText="1" indent="1"/>
    </xf>
    <xf numFmtId="0" fontId="37" fillId="41" borderId="25" xfId="1152" applyFont="1" applyFill="1" applyBorder="1" applyNumberFormat="1">
      <alignment vertical="center" wrapText="1"/>
    </xf>
    <xf numFmtId="0" fontId="27" fillId="39" borderId="27" xfId="1154" applyFont="1" applyFill="1" applyBorder="1" applyNumberFormat="1">
      <alignment horizontal="center" vertical="center" wrapText="1"/>
    </xf>
    <xf numFmtId="0" fontId="23" fillId="39" borderId="32" xfId="1155" applyFont="1" applyFill="1" applyBorder="1" applyNumberFormat="1">
      <alignment horizontal="center" vertical="center" wrapText="1"/>
    </xf>
    <xf numFmtId="0" fontId="27" fillId="41" borderId="34" xfId="1157" applyFont="1" applyFill="1" applyBorder="1" applyNumberFormat="1">
      <alignment vertical="center" wrapText="1"/>
    </xf>
    <xf numFmtId="0" fontId="27" fillId="39" borderId="19" xfId="1158" applyFont="1" applyFill="1" applyBorder="1" applyNumberFormat="1">
      <alignment vertical="center" wrapText="1"/>
    </xf>
    <xf numFmtId="0" fontId="31" fillId="39" borderId="19" xfId="1160" applyFont="1" applyFill="1" applyBorder="1" applyNumberFormat="1">
      <alignment horizontal="center" wrapText="1"/>
    </xf>
    <xf numFmtId="0" fontId="27" fillId="0" borderId="15" xfId="1161" applyFont="1" applyBorder="1" applyNumberFormat="1">
      <alignment horizontal="center" vertical="center"/>
    </xf>
    <xf numFmtId="0" fontId="27" fillId="0" borderId="16" xfId="1162" applyFont="1" applyBorder="1" applyNumberFormat="1">
      <alignment horizontal="center" vertical="center"/>
    </xf>
    <xf numFmtId="0" fontId="27" fillId="0" borderId="17" xfId="1163" applyFont="1" applyBorder="1" applyNumberFormat="1">
      <alignment horizontal="center" vertical="center"/>
    </xf>
    <xf numFmtId="0" fontId="27" fillId="0" borderId="13" xfId="1164" applyFont="1" applyBorder="1" applyNumberFormat="1">
      <alignment vertical="center" wrapText="1"/>
    </xf>
    <xf numFmtId="0" fontId="27" fillId="39" borderId="26" xfId="1165" applyFont="1" applyFill="1" applyBorder="1" applyNumberFormat="1">
      <alignment vertical="center" wrapText="1"/>
    </xf>
    <xf numFmtId="0" fontId="44" fillId="0" borderId="19" xfId="1166" applyFont="1" applyBorder="1" applyNumberFormat="1">
      <alignment vertical="center" wrapText="1"/>
    </xf>
    <xf numFmtId="0" fontId="27" fillId="0" borderId="72" xfId="1167" applyFont="1" applyBorder="1" applyNumberFormat="1">
      <alignment horizontal="center" vertical="center"/>
    </xf>
    <xf numFmtId="0" fontId="27" fillId="0" borderId="44" xfId="1168" applyFont="1" applyBorder="1" applyNumberFormat="1">
      <alignment horizontal="center" vertical="center"/>
    </xf>
    <xf numFmtId="0" fontId="27" fillId="0" borderId="13" xfId="1169" applyFont="1" applyBorder="1" applyNumberFormat="1">
      <alignment vertical="center"/>
    </xf>
    <xf numFmtId="0" fontId="27" fillId="0" borderId="27" xfId="1180" applyFont="1" applyBorder="1" applyNumberFormat="1">
      <alignment horizontal="left" vertical="top" wrapText="1"/>
    </xf>
    <xf numFmtId="0" fontId="27" fillId="45" borderId="21" xfId="1184" applyFont="1" applyFill="1" applyBorder="1" applyNumberFormat="1">
      <alignment horizontal="center" vertical="center" wrapText="1"/>
    </xf>
    <xf numFmtId="0" fontId="27" fillId="45" borderId="25" xfId="1185" applyFont="1" applyFill="1" applyBorder="1" applyNumberFormat="1">
      <alignment horizontal="center" vertical="center" wrapText="1"/>
    </xf>
    <xf numFmtId="0" fontId="27" fillId="45" borderId="20" xfId="1186" applyFont="1" applyFill="1" applyBorder="1" applyNumberFormat="1">
      <alignment horizontal="center" vertical="center" wrapText="1"/>
    </xf>
    <xf numFmtId="0" fontId="27" fillId="43" borderId="23" xfId="1200" applyFont="1" applyFill="1" applyBorder="1" applyNumberFormat="1">
      <alignment horizontal="center" vertical="center" wrapText="1"/>
    </xf>
    <xf numFmtId="0" fontId="27" fillId="43" borderId="21" xfId="1201" applyFont="1" applyFill="1" applyBorder="1" applyNumberFormat="1">
      <alignment horizontal="center" vertical="center" wrapText="1"/>
    </xf>
    <xf numFmtId="0" fontId="27" fillId="43" borderId="20" xfId="1202" applyFont="1" applyFill="1" applyBorder="1" applyNumberFormat="1">
      <alignment horizontal="center" vertical="center" wrapText="1"/>
    </xf>
    <xf numFmtId="0" fontId="47" fillId="0" borderId="23" xfId="1206" applyFont="1" applyBorder="1" applyNumberFormat="1">
      <alignment horizontal="center" vertical="center"/>
    </xf>
    <xf numFmtId="0" fontId="27" fillId="0" borderId="32" xfId="1209" applyFont="1" applyBorder="1" applyNumberFormat="1">
      <alignment horizontal="right" vertical="center"/>
    </xf>
    <xf numFmtId="0" fontId="27" fillId="0" borderId="32" xfId="1210" applyFont="1" applyBorder="1" applyNumberFormat="1">
      <alignment horizontal="center" vertical="center"/>
    </xf>
    <xf numFmtId="0" fontId="93" fillId="39" borderId="0" xfId="1213" applyFont="1" applyFill="1" applyNumberFormat="1">
      <alignment horizontal="center" vertical="center" wrapText="1"/>
    </xf>
    <xf numFmtId="0" fontId="28" fillId="39" borderId="0" xfId="1214" applyFont="1" applyFill="1" applyNumberFormat="1"/>
    <xf numFmtId="0" fontId="27" fillId="0" borderId="0" xfId="1217" applyFont="1" applyNumberFormat="1"/>
    <xf numFmtId="0" fontId="50" fillId="39" borderId="0" xfId="1218" applyFont="1" applyFill="1" applyNumberFormat="1">
      <alignment horizontal="center" vertical="center"/>
    </xf>
    <xf numFmtId="0" fontId="27" fillId="39" borderId="32" xfId="1219" applyFont="1" applyFill="1" applyBorder="1" applyNumberFormat="1">
      <alignment horizontal="center" vertical="center"/>
    </xf>
    <xf numFmtId="0" fontId="50" fillId="0" borderId="0" xfId="1221" applyFont="1" applyNumberFormat="1">
      <alignment horizontal="center" vertical="center"/>
    </xf>
    <xf numFmtId="0" fontId="37" fillId="39" borderId="0" xfId="1223" applyFont="1" applyFill="1" applyNumberFormat="1"/>
    <xf numFmtId="0" fontId="94" fillId="39" borderId="0" xfId="1224" applyFont="1" applyFill="1" applyNumberFormat="1"/>
    <xf numFmtId="0" fontId="44" fillId="39" borderId="0" xfId="1225" applyFont="1" applyFill="1" applyNumberFormat="1">
      <alignment horizontal="center" vertical="center" wrapText="1"/>
    </xf>
    <xf numFmtId="0" fontId="23" fillId="39" borderId="32" xfId="1226" applyFont="1" applyFill="1" applyBorder="1" applyNumberFormat="1">
      <alignment horizontal="left" vertical="top" wrapText="1"/>
    </xf>
    <xf numFmtId="0" fontId="55" fillId="39" borderId="0" xfId="1227" applyFont="1" applyFill="1" applyNumberFormat="1">
      <alignment vertical="center" wrapText="1"/>
    </xf>
    <xf numFmtId="0" fontId="44" fillId="39" borderId="23" xfId="1228" applyFont="1" applyFill="1" applyBorder="1" applyNumberFormat="1">
      <alignment horizontal="center" vertical="center"/>
    </xf>
    <xf numFmtId="0" fontId="23" fillId="39" borderId="42" xfId="1229" applyFont="1" applyFill="1" applyBorder="1" applyNumberFormat="1">
      <alignment horizontal="left" vertical="top" wrapText="1"/>
    </xf>
    <xf numFmtId="0" fontId="56" fillId="39" borderId="0" xfId="1230" applyFont="1" applyFill="1" applyNumberFormat="1"/>
    <xf numFmtId="0" fontId="23" fillId="39" borderId="30" xfId="1231" applyFont="1" applyFill="1" applyBorder="1" applyNumberFormat="1">
      <alignment horizontal="left" vertical="top" wrapText="1"/>
    </xf>
    <xf numFmtId="0" fontId="89" fillId="39" borderId="0" xfId="1232" applyFont="1" applyFill="1" applyNumberFormat="1"/>
    <xf numFmtId="0" fontId="27" fillId="39" borderId="23" xfId="1233" applyFont="1" applyFill="1" applyBorder="1" applyNumberFormat="1">
      <alignment horizontal="left" vertical="top" wrapText="1"/>
    </xf>
    <xf numFmtId="0" fontId="27" fillId="39" borderId="23" xfId="1235" applyFont="1" applyFill="1" applyBorder="1" applyNumberFormat="1">
      <alignment vertical="top" wrapText="1"/>
    </xf>
    <xf numFmtId="0" fontId="37" fillId="0" borderId="42" xfId="1237" applyFont="1" applyBorder="1" applyNumberFormat="1">
      <alignment horizontal="left" vertical="center" wrapText="1" indent="1"/>
    </xf>
    <xf numFmtId="0" fontId="95" fillId="0" borderId="0" xfId="1248" applyFont="1" applyNumberFormat="1">
      <alignment vertical="center"/>
    </xf>
    <xf numFmtId="0" fontId="27" fillId="37" borderId="30" xfId="1254" applyFont="1" applyFill="1" applyBorder="1" applyNumberFormat="1">
      <alignment horizontal="left" vertical="center" wrapText="1" indent="1"/>
    </xf>
    <xf numFmtId="0" fontId="27" fillId="0" borderId="34" xfId="1256" applyFont="1" applyBorder="1" applyNumberFormat="1">
      <alignment horizontal="left" vertical="top" wrapText="1"/>
    </xf>
    <xf numFmtId="0" fontId="27" fillId="39" borderId="42" xfId="1260" applyFont="1" applyFill="1" applyBorder="1" applyNumberFormat="1">
      <alignment vertical="center" wrapText="1"/>
    </xf>
    <xf numFmtId="0" fontId="44" fillId="0" borderId="45" xfId="1261" applyFont="1" applyBorder="1" applyNumberFormat="1">
      <alignment horizontal="center" vertical="center" wrapText="1"/>
    </xf>
    <xf numFmtId="0" fontId="27" fillId="39" borderId="28" xfId="1262" applyFont="1" applyFill="1" applyBorder="1" applyNumberFormat="1">
      <alignment vertical="center" wrapText="1"/>
    </xf>
    <xf numFmtId="0" fontId="27" fillId="0" borderId="25" xfId="1263" applyFont="1" applyBorder="1" applyNumberFormat="1">
      <alignment horizontal="left" vertical="center" wrapText="1"/>
    </xf>
    <xf numFmtId="0" fontId="46" fillId="0" borderId="0" xfId="1266" applyFont="1" applyNumberFormat="1">
      <alignment horizontal="center" vertical="center" wrapText="1"/>
    </xf>
    <xf numFmtId="0" fontId="27" fillId="37" borderId="34" xfId="1268" applyFont="1" applyFill="1" applyBorder="1" applyNumberFormat="1">
      <alignment horizontal="left" vertical="center" wrapText="1"/>
    </xf>
    <xf numFmtId="0" fontId="23" fillId="0" borderId="0" xfId="1289" applyFont="1" applyNumberFormat="1"/>
    <xf numFmtId="0" fontId="23" fillId="0" borderId="24" xfId="1291" applyFont="1" applyBorder="1" applyNumberFormat="1">
      <alignment vertical="top" wrapText="1"/>
    </xf>
    <xf numFmtId="0" fontId="21" fillId="0" borderId="74" xfId="1292" applyFont="1" applyBorder="1" applyNumberFormat="1">
      <alignment vertical="top" wrapText="1"/>
    </xf>
    <xf numFmtId="0" fontId="23" fillId="0" borderId="23" xfId="1293" applyFont="1" applyBorder="1" applyNumberFormat="1">
      <alignment vertical="top" wrapText="1"/>
    </xf>
    <xf numFmtId="0" fontId="31" fillId="0" borderId="24" xfId="1295" applyFont="1" applyBorder="1" applyNumberFormat="1">
      <alignment vertical="center" wrapText="1"/>
    </xf>
    <xf numFmtId="0" fontId="21" fillId="0" borderId="0" xfId="1296" applyFont="1" applyNumberFormat="1">
      <alignment vertical="top" wrapText="1"/>
    </xf>
    <xf numFmtId="0" fontId="27" fillId="0" borderId="24" xfId="1297" applyFont="1" applyBorder="1" applyNumberFormat="1">
      <alignment vertical="center" wrapText="1"/>
    </xf>
    <xf numFmtId="0" fontId="0" fillId="0" borderId="0" xfId="0" applyFont="1" applyNumberFormat="1">
      <alignment vertical="top"/>
    </xf>
    <xf numFmtId="0" fontId="0" fillId="0" borderId="0" xfId="0" applyFont="1" applyNumberFormat="1">
      <alignment vertical="top"/>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0" fontId="23" fillId="38" borderId="23" xfId="105" applyFont="1" applyFill="1" applyBorder="1" applyNumberFormat="1">
      <alignment horizontal="left" vertical="center" wrapText="1" indent="1"/>
      <protection locked="0"/>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0" fontId="39" fillId="39" borderId="0" xfId="115" applyFont="1" applyFill="1" applyNumberFormat="1">
      <alignment horizontal="center" vertical="center" wrapText="1"/>
    </xf>
    <xf numFmtId="0" fontId="23" fillId="39" borderId="22" xfId="118" applyFont="1" applyFill="1" applyBorder="1" applyNumberFormat="1">
      <alignment horizontal="right" vertical="center" wrapText="1" inden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0" fontId="27" fillId="40" borderId="23" xfId="124" applyFont="1" applyFill="1" applyBorder="1" applyNumberFormat="1">
      <alignment horizontal="left" vertical="center" wrapText="1" indent="1"/>
    </xf>
    <xf numFmtId="0" fontId="27" fillId="38" borderId="23" xfId="126" applyFont="1" applyFill="1" applyBorder="1" applyNumberFormat="1">
      <alignment horizontal="left" vertical="center" wrapText="1" indent="1"/>
    </xf>
    <xf numFmtId="0" fontId="27" fillId="0" borderId="0" xfId="128" applyFont="1" applyNumberFormat="1">
      <alignment horizontal="left" vertical="center" wrapText="1" indent="4"/>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0" fontId="27" fillId="0" borderId="31" xfId="173" applyFont="1" applyBorder="1" applyNumberFormat="1">
      <alignment vertical="center" wrapText="1"/>
    </xf>
    <xf numFmtId="0" fontId="49" fillId="0" borderId="0" xfId="174" applyFont="1" applyNumberFormat="1">
      <alignment vertical="center" wrapText="1"/>
    </xf>
    <xf numFmtId="0" fontId="50" fillId="0" borderId="0" xfId="175" applyFont="1" applyNumberFormat="1">
      <alignment horizontal="center" vertical="center" wrapText="1"/>
    </xf>
    <xf numFmtId="0" fontId="51" fillId="0" borderId="0" xfId="176" applyFont="1" applyNumberFormat="1">
      <alignment vertical="center"/>
    </xf>
    <xf numFmtId="0" fontId="23" fillId="0" borderId="0" xfId="177" applyFont="1" applyNumberFormat="1">
      <alignment vertical="center"/>
    </xf>
    <xf numFmtId="0" fontId="27" fillId="0" borderId="27" xfId="178" applyFont="1" applyBorder="1" applyNumberFormat="1">
      <alignment horizontal="left" vertical="center" wrapText="1" indent="1"/>
    </xf>
    <xf numFmtId="0" fontId="27" fillId="0" borderId="32" xfId="179" applyFont="1" applyBorder="1" applyNumberFormat="1">
      <alignment horizontal="left" vertical="center" wrapText="1" indent="1"/>
    </xf>
    <xf numFmtId="0" fontId="27" fillId="0" borderId="33" xfId="180" applyFont="1" applyBorder="1" applyNumberFormat="1">
      <alignment horizontal="left" vertical="center" wrapText="1" indent="1"/>
    </xf>
    <xf numFmtId="0" fontId="27" fillId="0" borderId="34" xfId="181" applyFont="1" applyBorder="1" applyNumberFormat="1">
      <alignment horizontal="left" vertical="center" indent="1"/>
    </xf>
    <xf numFmtId="0" fontId="27" fillId="0" borderId="30" xfId="182" applyFont="1" applyBorder="1" applyNumberFormat="1">
      <alignment horizontal="left" vertical="center" indent="1"/>
    </xf>
    <xf numFmtId="0" fontId="27" fillId="0" borderId="35" xfId="183" applyFont="1" applyBorder="1" applyNumberFormat="1">
      <alignment horizontal="left" vertical="center" indent="1"/>
    </xf>
    <xf numFmtId="0" fontId="52" fillId="0" borderId="0" xfId="184" applyFont="1" applyNumberFormat="1">
      <alignment vertical="center"/>
    </xf>
    <xf numFmtId="0" fontId="23" fillId="0" borderId="0" xfId="185" applyFont="1" applyNumberFormat="1">
      <alignment horizontal="left" vertical="center" wrapText="1" indent="2"/>
    </xf>
    <xf numFmtId="0" fontId="27" fillId="42" borderId="0" xfId="186" applyFont="1" applyFill="1" applyNumberFormat="1">
      <alignment horizontal="center" vertical="center" wrapText="1"/>
    </xf>
    <xf numFmtId="0" fontId="53" fillId="0" borderId="33" xfId="187" applyFont="1" applyBorder="1" applyNumberFormat="1">
      <alignment horizontal="center" vertical="center" wrapText="1"/>
    </xf>
    <xf numFmtId="0" fontId="53" fillId="0" borderId="26" xfId="188" applyFont="1" applyBorder="1" applyNumberFormat="1">
      <alignment horizontal="center" vertical="center" wrapText="1"/>
    </xf>
    <xf numFmtId="0" fontId="53" fillId="0" borderId="23" xfId="189" applyFont="1" applyBorder="1" applyNumberFormat="1">
      <alignment horizontal="center" vertical="center" wrapText="1"/>
    </xf>
    <xf numFmtId="0" fontId="27" fillId="0" borderId="36" xfId="190" applyFont="1" applyBorder="1" applyNumberFormat="1">
      <alignment horizontal="center" vertical="center" wrapText="1"/>
    </xf>
    <xf numFmtId="0" fontId="27" fillId="0" borderId="37" xfId="191" applyFont="1" applyBorder="1" applyNumberFormat="1">
      <alignment horizontal="center" vertical="center" wrapText="1"/>
    </xf>
    <xf numFmtId="0" fontId="37" fillId="0" borderId="28" xfId="192" applyFont="1" applyBorder="1" applyNumberFormat="1">
      <alignment vertical="center"/>
    </xf>
    <xf numFmtId="0" fontId="27" fillId="41" borderId="21" xfId="198" applyFont="1" applyFill="1" applyBorder="1" applyNumberFormat="1">
      <alignment horizontal="center" vertical="center" wrapText="1"/>
    </xf>
    <xf numFmtId="0" fontId="23" fillId="41" borderId="20" xfId="202" applyFont="1" applyFill="1" applyBorder="1" applyNumberFormat="1">
      <alignment vertical="center"/>
    </xf>
    <xf numFmtId="0" fontId="27" fillId="40" borderId="32" xfId="204" applyFont="1" applyFill="1" applyBorder="1" applyNumberFormat="1">
      <alignment horizontal="left" vertical="center" wrapText="1" indent="2"/>
    </xf>
    <xf numFmtId="0" fontId="27" fillId="0" borderId="41" xfId="207" applyFont="1" applyBorder="1" applyNumberFormat="1">
      <alignment horizontal="center" vertical="center" wrapText="1"/>
    </xf>
    <xf numFmtId="0" fontId="27" fillId="40" borderId="32" xfId="208" applyFont="1" applyFill="1" applyBorder="1" applyNumberFormat="1">
      <alignment horizontal="left" vertical="center" wrapText="1" indent="1"/>
    </xf>
    <xf numFmtId="0" fontId="27" fillId="0" borderId="0" xfId="212" applyFont="1" applyNumberFormat="1">
      <alignment vertical="center"/>
    </xf>
    <xf numFmtId="0" fontId="37" fillId="0" borderId="0" xfId="213" applyFont="1" applyNumberFormat="1">
      <alignment vertical="center"/>
    </xf>
    <xf numFmtId="0" fontId="47" fillId="0" borderId="23" xfId="215" applyFont="1" applyBorder="1" applyNumberFormat="1">
      <alignment horizontal="center" vertical="center" wrapText="1"/>
    </xf>
    <xf numFmtId="0" fontId="27" fillId="40" borderId="42" xfId="217" applyFont="1" applyFill="1" applyBorder="1" applyNumberFormat="1">
      <alignment horizontal="left" vertical="center" wrapText="1" indent="2"/>
    </xf>
    <xf numFmtId="0" fontId="27" fillId="40" borderId="30" xfId="218" applyFont="1" applyFill="1" applyBorder="1" applyNumberFormat="1">
      <alignment horizontal="left" vertical="center" wrapText="1" indent="1"/>
    </xf>
    <xf numFmtId="0" fontId="27" fillId="40" borderId="30" xfId="220" applyFont="1" applyFill="1" applyBorder="1" applyNumberFormat="1">
      <alignment horizontal="left" vertical="center" wrapText="1" indent="2"/>
    </xf>
    <xf numFmtId="0" fontId="53" fillId="42" borderId="0" xfId="224" applyFont="1" applyFill="1" applyNumberFormat="1">
      <alignment vertical="top"/>
    </xf>
    <xf numFmtId="0" fontId="27" fillId="0" borderId="27" xfId="226" applyFont="1" applyBorder="1" applyNumberFormat="1">
      <alignment horizontal="left" vertical="top" wrapText="1" indent="1"/>
    </xf>
    <xf numFmtId="0" fontId="27" fillId="0" borderId="32" xfId="227" applyFont="1" applyBorder="1" applyNumberFormat="1">
      <alignment horizontal="left" vertical="top" wrapText="1" indent="1"/>
    </xf>
    <xf numFmtId="0" fontId="27" fillId="0" borderId="33" xfId="228" applyFont="1" applyBorder="1" applyNumberFormat="1">
      <alignment horizontal="left" vertical="top" wrapText="1" indent="1"/>
    </xf>
    <xf numFmtId="0" fontId="27" fillId="0" borderId="45" xfId="229" applyFont="1" applyBorder="1" applyNumberFormat="1">
      <alignment horizontal="left" vertical="center" indent="1"/>
    </xf>
    <xf numFmtId="0" fontId="55" fillId="0" borderId="29" xfId="230" applyFont="1" applyBorder="1" applyNumberFormat="1">
      <alignment horizontal="left" vertical="center" wrapText="1" indent="1"/>
    </xf>
    <xf numFmtId="0" fontId="55" fillId="0" borderId="42" xfId="231" applyFont="1" applyBorder="1" applyNumberFormat="1">
      <alignment horizontal="left" vertical="center" wrapText="1" indent="1"/>
    </xf>
    <xf numFmtId="0" fontId="55" fillId="0" borderId="28" xfId="232" applyFont="1" applyBorder="1" applyNumberFormat="1">
      <alignment horizontal="left" vertical="center" wrapText="1" indent="1"/>
    </xf>
    <xf numFmtId="0" fontId="56" fillId="0" borderId="0" xfId="233" applyFont="1" applyNumberFormat="1">
      <alignment vertical="center"/>
    </xf>
    <xf numFmtId="0" fontId="23" fillId="0" borderId="23" xfId="234" applyFont="1" applyBorder="1" applyNumberFormat="1">
      <alignment horizontal="center" vertical="center" wrapText="1"/>
    </xf>
    <xf numFmtId="0" fontId="44" fillId="0" borderId="23" xfId="237" applyFont="1" applyBorder="1" applyNumberFormat="1">
      <alignment horizontal="center" vertical="center"/>
    </xf>
    <xf numFmtId="0" fontId="23" fillId="0" borderId="23" xfId="238" applyFont="1" applyBorder="1" applyNumberFormat="1">
      <alignment horizontal="center" vertical="center"/>
    </xf>
    <xf numFmtId="0" fontId="23" fillId="0" borderId="23" xfId="241" applyFont="1" applyBorder="1" applyNumberFormat="1">
      <alignment horizontal="center" vertical="top"/>
    </xf>
    <xf numFmtId="0" fontId="27" fillId="0" borderId="23" xfId="242" applyFont="1" applyBorder="1" applyNumberFormat="1">
      <alignment horizontal="left" vertical="top" wrapText="1"/>
    </xf>
    <xf numFmtId="0" fontId="27" fillId="40" borderId="32" xfId="243" applyFont="1" applyFill="1" applyBorder="1" applyNumberFormat="1">
      <alignment horizontal="center" vertical="top" wrapText="1"/>
    </xf>
    <xf numFmtId="0" fontId="23" fillId="0" borderId="33" xfId="244" applyFont="1" applyBorder="1" applyNumberFormat="1">
      <alignment horizontal="center" vertical="center"/>
    </xf>
    <xf numFmtId="0" fontId="23" fillId="0" borderId="26" xfId="245" applyFont="1" applyBorder="1" applyNumberFormat="1">
      <alignment horizontal="center" vertical="center"/>
    </xf>
    <xf numFmtId="0" fontId="23" fillId="0" borderId="26" xfId="248" applyFont="1" applyBorder="1" applyNumberFormat="1">
      <alignment horizontal="left" vertical="center" wrapText="1"/>
    </xf>
    <xf numFmtId="0" fontId="27" fillId="0" borderId="0" xfId="251" applyFont="1" applyNumberFormat="1">
      <alignment horizontal="left" vertical="center" indent="1"/>
    </xf>
    <xf numFmtId="0" fontId="27" fillId="40" borderId="42" xfId="252" applyFont="1" applyFill="1" applyBorder="1" applyNumberFormat="1">
      <alignment horizontal="center" vertical="top" wrapText="1"/>
    </xf>
    <xf numFmtId="0" fontId="23" fillId="0" borderId="28" xfId="253" applyFont="1" applyBorder="1" applyNumberFormat="1">
      <alignment horizontal="center" vertical="center"/>
    </xf>
    <xf numFmtId="0" fontId="48" fillId="0" borderId="29" xfId="254" applyFont="1" applyBorder="1" applyNumberFormat="1">
      <alignment horizontal="left" vertical="center"/>
    </xf>
    <xf numFmtId="0" fontId="27" fillId="40" borderId="30" xfId="256" applyFont="1" applyFill="1" applyBorder="1" applyNumberFormat="1">
      <alignment horizontal="center" vertical="top" wrapText="1"/>
    </xf>
    <xf numFmtId="0" fontId="48" fillId="0" borderId="35" xfId="257" applyFont="1" applyBorder="1" applyNumberFormat="1">
      <alignment horizontal="left" vertical="center"/>
    </xf>
    <xf numFmtId="0" fontId="48" fillId="0" borderId="45" xfId="258" applyFont="1" applyBorder="1" applyNumberFormat="1">
      <alignment horizontal="left" vertical="center"/>
    </xf>
    <xf numFmtId="0" fontId="23" fillId="0" borderId="45" xfId="259" applyFont="1" applyBorder="1" applyNumberFormat="1">
      <alignment vertical="center"/>
    </xf>
    <xf numFmtId="0" fontId="48" fillId="0" borderId="34" xfId="260" applyFont="1" applyBorder="1" applyNumberFormat="1">
      <alignment horizontal="left" vertical="center"/>
    </xf>
    <xf numFmtId="0" fontId="27" fillId="38" borderId="23" xfId="261" applyFont="1" applyFill="1" applyBorder="1" applyNumberFormat="1">
      <alignment horizontal="left" vertical="top" wrapText="1"/>
      <protection locked="0"/>
    </xf>
    <xf numFmtId="0" fontId="23" fillId="38" borderId="23" xfId="263" applyFont="1" applyFill="1" applyBorder="1" applyNumberFormat="1">
      <alignment horizontal="left" vertical="top"/>
      <protection locked="0"/>
    </xf>
    <xf numFmtId="0" fontId="23" fillId="0" borderId="32" xfId="264" applyFont="1" applyBorder="1" applyNumberFormat="1">
      <alignment horizontal="center" vertical="top"/>
    </xf>
    <xf numFmtId="0" fontId="27" fillId="0" borderId="32" xfId="265" applyFont="1" applyBorder="1" applyNumberFormat="1">
      <alignment horizontal="left" vertical="top" wrapText="1"/>
    </xf>
    <xf numFmtId="0" fontId="23" fillId="0" borderId="42" xfId="266" applyFont="1" applyBorder="1" applyNumberFormat="1">
      <alignment horizontal="center" vertical="top"/>
    </xf>
    <xf numFmtId="0" fontId="27" fillId="0" borderId="42" xfId="267" applyFont="1" applyBorder="1" applyNumberFormat="1">
      <alignment horizontal="left" vertical="top" wrapText="1"/>
    </xf>
    <xf numFmtId="0" fontId="23" fillId="0" borderId="30" xfId="268" applyFont="1" applyBorder="1" applyNumberFormat="1">
      <alignment horizontal="center" vertical="top"/>
    </xf>
    <xf numFmtId="0" fontId="27" fillId="0" borderId="30" xfId="269" applyFont="1" applyBorder="1" applyNumberFormat="1">
      <alignment horizontal="left" vertical="top" wrapText="1"/>
    </xf>
    <xf numFmtId="0" fontId="23" fillId="0" borderId="0" xfId="270" applyFont="1" applyNumberFormat="1">
      <alignment horizontal="left" vertical="top" wrapText="1"/>
    </xf>
    <xf numFmtId="0" fontId="23" fillId="0" borderId="0" xfId="271" applyFont="1" applyNumberFormat="1" quotePrefix="1">
      <alignment horizontal="left" vertical="top" wrapText="1" indent="1"/>
    </xf>
    <xf numFmtId="0" fontId="27" fillId="0" borderId="26" xfId="275" applyFont="1" applyBorder="1" applyNumberFormat="1">
      <alignment horizontal="left" vertical="center" wrapText="1" indent="1"/>
    </xf>
    <xf numFmtId="0" fontId="27" fillId="0" borderId="45" xfId="276" applyFont="1" applyBorder="1" applyNumberFormat="1">
      <alignment horizontal="left" vertical="center" wrapText="1" indent="1"/>
    </xf>
    <xf numFmtId="0" fontId="27" fillId="0" borderId="33" xfId="277" applyFont="1" applyBorder="1" applyNumberFormat="1">
      <alignment horizontal="center" vertical="center" wrapText="1"/>
    </xf>
    <xf numFmtId="0" fontId="27" fillId="0" borderId="27" xfId="278" applyFont="1" applyBorder="1" applyNumberFormat="1">
      <alignment horizontal="center" vertical="center" wrapText="1"/>
    </xf>
    <xf numFmtId="0" fontId="27" fillId="0" borderId="42" xfId="279" applyFont="1" applyBorder="1" applyNumberFormat="1">
      <alignment horizontal="center" vertical="center" wrapText="1"/>
    </xf>
    <xf numFmtId="0" fontId="27" fillId="0" borderId="32" xfId="280" applyFont="1" applyBorder="1" applyNumberFormat="1">
      <alignment horizontal="center" vertical="center" wrapText="1"/>
    </xf>
    <xf numFmtId="0" fontId="27" fillId="0" borderId="28" xfId="281" applyFont="1" applyBorder="1" applyNumberFormat="1">
      <alignment horizontal="center" vertical="center" wrapText="1"/>
    </xf>
    <xf numFmtId="0" fontId="27" fillId="0" borderId="29" xfId="282" applyFont="1" applyBorder="1" applyNumberFormat="1">
      <alignment horizontal="center" vertical="center" wrapText="1"/>
    </xf>
    <xf numFmtId="0" fontId="27" fillId="0" borderId="35" xfId="283" applyFont="1" applyBorder="1" applyNumberFormat="1">
      <alignment horizontal="center" vertical="center" wrapText="1"/>
    </xf>
    <xf numFmtId="0" fontId="27" fillId="0" borderId="34" xfId="284" applyFont="1" applyBorder="1" applyNumberFormat="1">
      <alignment horizontal="center" vertical="center" wrapText="1"/>
    </xf>
    <xf numFmtId="0" fontId="27" fillId="0" borderId="23" xfId="287" applyFont="1" applyBorder="1" applyNumberFormat="1">
      <alignment horizontal="left" vertical="center" wrapText="1"/>
    </xf>
    <xf numFmtId="0" fontId="27" fillId="0" borderId="26" xfId="290" applyFont="1" applyBorder="1" applyNumberFormat="1">
      <alignment horizontal="center" vertical="center"/>
    </xf>
    <xf numFmtId="0" fontId="27" fillId="0" borderId="26" xfId="293" applyFont="1" applyBorder="1" applyNumberFormat="1">
      <alignment horizontal="left" vertical="center" wrapText="1"/>
    </xf>
    <xf numFmtId="0" fontId="48" fillId="0" borderId="28" xfId="296" applyFont="1" applyBorder="1" applyNumberFormat="1">
      <alignment horizontal="left" vertical="center"/>
    </xf>
    <xf numFmtId="0" fontId="27" fillId="0" borderId="32" xfId="298" applyFont="1" applyBorder="1" applyNumberFormat="1">
      <alignment horizontal="left" vertical="center" wrapText="1"/>
    </xf>
    <xf numFmtId="0" fontId="27" fillId="0" borderId="33" xfId="299" applyFont="1" applyBorder="1" applyNumberFormat="1">
      <alignment horizontal="left" vertical="center" wrapText="1"/>
    </xf>
    <xf numFmtId="0" fontId="27" fillId="0" borderId="21" xfId="303" applyFont="1" applyBorder="1" applyNumberFormat="1">
      <alignment horizontal="left" vertical="center" wrapText="1"/>
    </xf>
    <xf numFmtId="0" fontId="27" fillId="39" borderId="0" xfId="304" applyFont="1" applyFill="1" applyNumberFormat="1"/>
    <xf numFmtId="0" fontId="23" fillId="39" borderId="0" xfId="305" applyFont="1" applyFill="1" applyNumberFormat="1"/>
    <xf numFmtId="0" fontId="44" fillId="39" borderId="0" xfId="306" applyFont="1" applyFill="1" applyNumberFormat="1"/>
    <xf numFmtId="0" fontId="40" fillId="39" borderId="0" xfId="307" applyFont="1" applyFill="1" applyNumberFormat="1">
      <alignment horizontal="center"/>
    </xf>
    <xf numFmtId="0" fontId="40" fillId="39" borderId="0" xfId="308" applyFont="1" applyFill="1" applyNumberFormat="1"/>
    <xf numFmtId="0" fontId="57" fillId="39" borderId="0" xfId="309" applyFont="1" applyFill="1" applyNumberFormat="1">
      <alignment horizontal="right" vertical="center"/>
    </xf>
    <xf numFmtId="0" fontId="44" fillId="39" borderId="0" xfId="310" applyFont="1" applyFill="1" applyNumberFormat="1">
      <alignment vertical="center" wrapText="1"/>
    </xf>
    <xf numFmtId="0" fontId="35" fillId="39" borderId="0" xfId="311" applyFont="1" applyFill="1" applyNumberFormat="1">
      <alignment horizontal="left" vertical="center" wrapText="1"/>
    </xf>
    <xf numFmtId="0" fontId="23" fillId="39" borderId="23" xfId="314" applyFont="1" applyFill="1" applyBorder="1" applyNumberFormat="1">
      <alignment horizontal="center" vertical="center" wrapText="1"/>
    </xf>
    <xf numFmtId="0" fontId="27" fillId="39" borderId="23" xfId="315" applyFont="1" applyFill="1" applyBorder="1" applyNumberFormat="1">
      <alignment horizontal="center" vertical="center" wrapText="1"/>
    </xf>
    <xf numFmtId="0" fontId="47" fillId="39" borderId="0" xfId="316" applyFont="1" applyFill="1" applyNumberFormat="1">
      <alignment horizontal="center" vertical="center"/>
    </xf>
    <xf numFmtId="0" fontId="44" fillId="0" borderId="23" xfId="318" applyFont="1" applyBorder="1" applyNumberFormat="1">
      <alignment vertical="center" wrapText="1"/>
    </xf>
    <xf numFmtId="0" fontId="44" fillId="0" borderId="23" xfId="319" applyFont="1" applyBorder="1" applyNumberFormat="1">
      <alignment horizontal="left" vertical="center" wrapText="1"/>
    </xf>
    <xf numFmtId="0" fontId="58" fillId="39" borderId="0" xfId="320" applyFont="1" applyFill="1" applyNumberFormat="1"/>
    <xf numFmtId="0" fontId="23" fillId="39" borderId="23" xfId="322" applyFont="1" applyFill="1" applyBorder="1" applyNumberFormat="1">
      <alignment vertical="center" wrapText="1"/>
    </xf>
    <xf numFmtId="0" fontId="27" fillId="39" borderId="23" xfId="323" applyFont="1" applyFill="1" applyBorder="1" applyNumberFormat="1">
      <alignment vertical="center" wrapText="1"/>
    </xf>
    <xf numFmtId="0" fontId="23" fillId="39" borderId="23" xfId="324" applyFont="1" applyFill="1" applyBorder="1" applyNumberFormat="1">
      <alignment horizontal="left" vertical="center" wrapText="1" indent="1"/>
    </xf>
    <xf numFmtId="0" fontId="44" fillId="0" borderId="23" xfId="326" applyFont="1" applyBorder="1" applyNumberFormat="1">
      <alignment horizontal="left" vertical="center" wrapText="1" indent="1"/>
    </xf>
    <xf numFmtId="0" fontId="27" fillId="39" borderId="29" xfId="328" applyFont="1" applyFill="1" applyBorder="1" applyNumberFormat="1">
      <alignment horizontal="center" vertical="center" wrapText="1"/>
    </xf>
    <xf numFmtId="0" fontId="23" fillId="39" borderId="23" xfId="329" applyFont="1" applyFill="1" applyBorder="1" applyNumberFormat="1">
      <alignment horizontal="center" vertical="center"/>
    </xf>
    <xf numFmtId="0" fontId="23" fillId="39" borderId="23" xfId="330" applyFont="1" applyFill="1" applyBorder="1" applyNumberFormat="1">
      <alignment horizontal="left" vertical="center" wrapText="1" indent="2"/>
    </xf>
    <xf numFmtId="0" fontId="27" fillId="39" borderId="29" xfId="333" applyFont="1" applyFill="1" applyBorder="1" applyNumberFormat="1">
      <alignment vertical="center" wrapText="1"/>
    </xf>
    <xf numFmtId="0" fontId="27" fillId="41" borderId="21" xfId="334" applyFont="1" applyFill="1" applyBorder="1" applyNumberFormat="1">
      <alignment horizontal="center"/>
    </xf>
    <xf numFmtId="0" fontId="57" fillId="41" borderId="25" xfId="335" applyFont="1" applyFill="1" applyBorder="1" applyNumberFormat="1">
      <alignment horizontal="left" vertical="center"/>
    </xf>
    <xf numFmtId="0" fontId="57" fillId="41" borderId="20" xfId="336" applyFont="1" applyFill="1" applyBorder="1" applyNumberFormat="1">
      <alignment horizontal="left" vertical="center"/>
    </xf>
    <xf numFmtId="0" fontId="44" fillId="39" borderId="23" xfId="338" applyFont="1" applyFill="1" applyBorder="1" applyNumberFormat="1">
      <alignment vertical="center" wrapText="1"/>
    </xf>
    <xf numFmtId="0" fontId="44" fillId="39" borderId="23" xfId="339" applyFont="1" applyFill="1" applyBorder="1" applyNumberFormat="1">
      <alignment horizontal="left" vertical="center" wrapText="1" indent="1"/>
    </xf>
    <xf numFmtId="0" fontId="44" fillId="39" borderId="23" xfId="340" applyFont="1" applyFill="1" applyBorder="1" applyNumberFormat="1">
      <alignment horizontal="left" vertical="center" wrapText="1" indent="2"/>
    </xf>
    <xf numFmtId="0" fontId="23" fillId="39" borderId="23" xfId="342" applyFont="1" applyFill="1" applyBorder="1" applyNumberFormat="1">
      <alignment horizontal="left" vertical="center" wrapText="1"/>
    </xf>
    <xf numFmtId="0" fontId="23" fillId="39" borderId="32" xfId="344" applyFont="1" applyFill="1" applyBorder="1" applyNumberFormat="1">
      <alignment horizontal="left" vertical="center" wrapText="1"/>
    </xf>
    <xf numFmtId="0" fontId="27" fillId="39" borderId="32" xfId="345" applyFont="1" applyFill="1" applyBorder="1" applyNumberFormat="1">
      <alignment horizontal="left" vertical="top" wrapText="1"/>
    </xf>
    <xf numFmtId="0" fontId="27" fillId="39" borderId="42" xfId="347" applyFont="1" applyFill="1" applyBorder="1" applyNumberFormat="1">
      <alignment horizontal="left" vertical="top" wrapText="1"/>
    </xf>
    <xf numFmtId="0" fontId="50" fillId="39" borderId="0" xfId="348" applyFont="1" applyFill="1" applyNumberFormat="1">
      <alignment horizontal="center" vertical="center" wrapText="1"/>
    </xf>
    <xf numFmtId="0" fontId="27" fillId="39" borderId="30" xfId="351" applyFont="1" applyFill="1" applyBorder="1" applyNumberFormat="1">
      <alignment horizontal="left" vertical="top" wrapText="1"/>
    </xf>
    <xf numFmtId="0" fontId="59" fillId="39" borderId="0" xfId="352" applyFont="1" applyFill="1" applyNumberFormat="1"/>
    <xf numFmtId="0" fontId="23" fillId="39" borderId="21" xfId="356" applyFont="1" applyFill="1" applyBorder="1" applyNumberFormat="1">
      <alignment horizontal="left" vertical="center" wrapText="1" indent="1"/>
    </xf>
    <xf numFmtId="0" fontId="23" fillId="39" borderId="23" xfId="358" applyFont="1" applyFill="1" applyBorder="1" applyNumberFormat="1">
      <alignment vertical="top" wrapText="1"/>
    </xf>
    <xf numFmtId="0" fontId="23" fillId="39" borderId="21" xfId="359" applyFont="1" applyFill="1" applyBorder="1" applyNumberFormat="1">
      <alignment horizontal="left" vertical="center" wrapText="1"/>
    </xf>
    <xf numFmtId="0" fontId="23" fillId="39" borderId="30" xfId="360" applyFont="1" applyFill="1" applyBorder="1" applyNumberFormat="1">
      <alignment vertical="center" wrapText="1"/>
    </xf>
    <xf numFmtId="0" fontId="49" fillId="0" borderId="0" xfId="361" applyFont="1" applyNumberFormat="1">
      <alignment horizontal="left" vertical="top" wrapText="1" indent="1"/>
    </xf>
    <xf numFmtId="0" fontId="60" fillId="39" borderId="0" xfId="362" applyFont="1" applyFill="1" applyNumberFormat="1"/>
    <xf numFmtId="0" fontId="53" fillId="39" borderId="0" xfId="363" applyFont="1" applyFill="1" applyNumberFormat="1">
      <alignment horizontal="center"/>
    </xf>
    <xf numFmtId="0" fontId="53" fillId="39" borderId="0" xfId="364" applyFont="1" applyFill="1" applyNumberFormat="1"/>
    <xf numFmtId="0" fontId="61" fillId="39" borderId="0" xfId="365" applyFont="1" applyFill="1" applyNumberFormat="1">
      <alignment horizontal="right" vertical="center"/>
    </xf>
    <xf numFmtId="0" fontId="62" fillId="39" borderId="0" xfId="366" applyFont="1" applyFill="1" applyNumberFormat="1">
      <alignment vertical="center"/>
    </xf>
    <xf numFmtId="0" fontId="61" fillId="39" borderId="0" xfId="367" applyFont="1" applyFill="1" applyNumberFormat="1">
      <alignment horizontal="right" vertical="top"/>
    </xf>
    <xf numFmtId="0" fontId="62" fillId="39" borderId="0" xfId="368" applyFont="1" applyFill="1" applyNumberFormat="1">
      <alignment vertical="center" wrapText="1"/>
    </xf>
    <xf numFmtId="0" fontId="23" fillId="39" borderId="0" xfId="369" applyFont="1" applyFill="1" applyNumberFormat="1">
      <alignment horizontal="center"/>
    </xf>
    <xf numFmtId="0" fontId="37" fillId="0" borderId="0" xfId="370" applyFont="1" applyNumberFormat="1">
      <alignment horizontal="center" vertical="center" wrapText="1"/>
    </xf>
    <xf numFmtId="0" fontId="63" fillId="39" borderId="0" xfId="371" applyFont="1" applyFill="1" applyNumberFormat="1">
      <alignment horizontal="center" vertical="center" wrapText="1"/>
    </xf>
    <xf numFmtId="0" fontId="63" fillId="39" borderId="0" xfId="372" applyFont="1" applyFill="1" applyNumberFormat="1">
      <alignment horizontal="right" vertical="center" wrapText="1"/>
    </xf>
    <xf numFmtId="0" fontId="63" fillId="0" borderId="0" xfId="373" applyFont="1" applyNumberFormat="1">
      <alignment vertical="center" wrapText="1"/>
    </xf>
    <xf numFmtId="0" fontId="27" fillId="0" borderId="34" xfId="374" applyFont="1" applyBorder="1" applyNumberFormat="1">
      <alignment horizontal="left" vertical="center" wrapText="1" indent="1"/>
    </xf>
    <xf numFmtId="0" fontId="27" fillId="0" borderId="30" xfId="375" applyFont="1" applyBorder="1" applyNumberFormat="1">
      <alignment horizontal="left" vertical="center" wrapText="1" indent="1"/>
    </xf>
    <xf numFmtId="0" fontId="27" fillId="0" borderId="35" xfId="376" applyFont="1" applyBorder="1" applyNumberFormat="1">
      <alignment horizontal="left" vertical="center" wrapText="1" indent="1"/>
    </xf>
    <xf numFmtId="0" fontId="64" fillId="39" borderId="0" xfId="377" applyFont="1" applyFill="1" applyNumberFormat="1">
      <alignment horizontal="center" vertical="center" wrapText="1"/>
    </xf>
    <xf numFmtId="0" fontId="23" fillId="0" borderId="21" xfId="378" applyFont="1" applyBorder="1" applyNumberFormat="1">
      <alignment horizontal="center" vertical="center" wrapText="1"/>
    </xf>
    <xf numFmtId="0" fontId="23" fillId="0" borderId="25" xfId="379" applyFont="1" applyBorder="1" applyNumberFormat="1">
      <alignment horizontal="center" vertical="center" wrapText="1"/>
    </xf>
    <xf numFmtId="0" fontId="23" fillId="0" borderId="20" xfId="380" applyFont="1" applyBorder="1" applyNumberFormat="1">
      <alignment horizontal="center" vertical="center" wrapText="1"/>
    </xf>
    <xf numFmtId="0" fontId="23" fillId="0" borderId="32" xfId="381" applyFont="1" applyBorder="1" applyNumberFormat="1">
      <alignment horizontal="center" vertical="center" wrapText="1"/>
    </xf>
    <xf numFmtId="0" fontId="23" fillId="0" borderId="33" xfId="382" applyFont="1" applyBorder="1" applyNumberFormat="1">
      <alignment horizontal="center" vertical="center" wrapText="1"/>
    </xf>
    <xf numFmtId="0" fontId="23" fillId="0" borderId="27" xfId="383" applyFont="1" applyBorder="1" applyNumberFormat="1">
      <alignment horizontal="center" vertical="center" wrapText="1"/>
    </xf>
    <xf numFmtId="0" fontId="23" fillId="0" borderId="30" xfId="384" applyFont="1" applyBorder="1" applyNumberFormat="1">
      <alignment horizontal="center" vertical="center" wrapText="1"/>
    </xf>
    <xf numFmtId="0" fontId="23" fillId="0" borderId="35" xfId="385" applyFont="1" applyBorder="1" applyNumberFormat="1">
      <alignment horizontal="center" vertical="center" wrapText="1"/>
    </xf>
    <xf numFmtId="0" fontId="23" fillId="0" borderId="34" xfId="386" applyFont="1" applyBorder="1" applyNumberFormat="1">
      <alignment horizontal="center" vertical="center" wrapText="1"/>
    </xf>
    <xf numFmtId="0" fontId="47" fillId="39" borderId="0" xfId="387" applyFont="1" applyFill="1" applyNumberFormat="1">
      <alignment horizontal="center" vertical="center" wrapText="1"/>
    </xf>
    <xf numFmtId="0" fontId="65" fillId="39" borderId="0" xfId="389" applyFont="1" applyFill="1" applyNumberFormat="1">
      <alignment horizontal="center" vertical="center" wrapText="1"/>
    </xf>
    <xf numFmtId="0" fontId="55" fillId="0" borderId="0" xfId="393" applyFont="1" applyNumberFormat="1">
      <alignment vertical="center" wrapText="1"/>
    </xf>
    <xf numFmtId="0" fontId="27" fillId="40" borderId="21" xfId="395" applyFont="1" applyFill="1" applyBorder="1" applyNumberFormat="1">
      <alignment horizontal="left" vertical="center" wrapText="1"/>
    </xf>
    <xf numFmtId="0" fontId="23" fillId="35" borderId="23" xfId="400" applyFont="1" applyFill="1" applyBorder="1" applyNumberFormat="1">
      <alignment horizontal="right" vertical="center" wrapText="1"/>
      <protection locked="0"/>
    </xf>
    <xf numFmtId="0" fontId="23" fillId="0" borderId="32" xfId="402" applyFont="1" applyBorder="1" applyNumberFormat="1">
      <alignment horizontal="left" vertical="top" wrapText="1"/>
    </xf>
    <xf numFmtId="0" fontId="48" fillId="41" borderId="25" xfId="404" applyFont="1" applyFill="1" applyBorder="1" applyNumberFormat="1">
      <alignment vertical="center"/>
    </xf>
    <xf numFmtId="0" fontId="23" fillId="0" borderId="30" xfId="408" applyFont="1" applyBorder="1" applyNumberFormat="1">
      <alignment horizontal="left" vertical="top" wrapText="1"/>
    </xf>
    <xf numFmtId="0" fontId="27" fillId="40" borderId="26" xfId="410" applyFont="1" applyFill="1" applyBorder="1" applyNumberFormat="1">
      <alignment horizontal="left" vertical="center" wrapText="1"/>
    </xf>
    <xf numFmtId="0" fontId="50" fillId="39" borderId="23" xfId="411" applyFont="1" applyFill="1" applyBorder="1" applyNumberFormat="1">
      <alignment horizontal="center" vertical="center" wrapText="1"/>
    </xf>
    <xf numFmtId="0" fontId="27" fillId="40" borderId="45" xfId="415" applyFont="1" applyFill="1" applyBorder="1" applyNumberFormat="1">
      <alignment horizontal="left" vertical="center" wrapText="1"/>
    </xf>
    <xf numFmtId="0" fontId="27" fillId="0" borderId="26" xfId="416" applyFont="1" applyBorder="1" applyNumberFormat="1">
      <alignment horizontal="left" vertical="top" wrapText="1" indent="1"/>
    </xf>
    <xf numFmtId="0" fontId="29" fillId="39" borderId="0" xfId="417" applyFont="1" applyFill="1" applyNumberFormat="1">
      <alignment horizontal="right" vertical="center"/>
    </xf>
    <xf numFmtId="0" fontId="29" fillId="39" borderId="0" xfId="418" applyFont="1" applyFill="1" applyNumberFormat="1">
      <alignment horizontal="right" vertical="center" wrapText="1"/>
    </xf>
    <xf numFmtId="0" fontId="50" fillId="39" borderId="29" xfId="421" applyFont="1" applyFill="1" applyBorder="1" applyNumberFormat="1">
      <alignment vertical="top" wrapText="1"/>
    </xf>
    <xf numFmtId="0" fontId="23" fillId="0" borderId="42" xfId="425" applyFont="1" applyBorder="1" applyNumberFormat="1">
      <alignment horizontal="left" vertical="top" wrapText="1"/>
    </xf>
    <xf numFmtId="0" fontId="50" fillId="39" borderId="0" xfId="426" applyFont="1" applyFill="1" applyNumberFormat="1">
      <alignment vertical="top" wrapText="1"/>
    </xf>
    <xf numFmtId="0" fontId="44" fillId="39" borderId="30" xfId="427" applyFont="1" applyFill="1" applyBorder="1" applyNumberFormat="1">
      <alignment horizontal="center" vertical="center" wrapText="1"/>
    </xf>
    <xf numFmtId="0" fontId="44" fillId="0" borderId="0" xfId="431" applyFont="1" applyNumberFormat="1">
      <alignment horizontal="left" vertical="center" wrapText="1"/>
    </xf>
    <xf numFmtId="0" fontId="49" fillId="0" borderId="0" xfId="436" applyFont="1" applyNumberFormat="1">
      <alignment vertical="top"/>
    </xf>
    <xf numFmtId="0" fontId="33" fillId="0" borderId="23" xfId="441" applyFont="1" applyBorder="1" applyNumberFormat="1">
      <alignment vertical="top" wrapText="1"/>
    </xf>
    <xf numFmtId="0" fontId="66" fillId="0" borderId="23" xfId="444" applyFont="1" applyBorder="1" applyNumberFormat="1">
      <alignment vertical="top" wrapText="1"/>
    </xf>
    <xf numFmtId="0" fontId="33" fillId="43" borderId="23" xfId="449" applyFont="1" applyFill="1" applyBorder="1" applyNumberFormat="1">
      <alignment horizontal="center" vertical="top" wrapText="1"/>
    </xf>
    <xf numFmtId="0" fontId="66" fillId="43" borderId="23" xfId="450" applyFont="1" applyFill="1" applyBorder="1" applyNumberFormat="1">
      <alignment horizontal="right" vertical="center" wrapText="1"/>
    </xf>
    <xf numFmtId="0" fontId="66" fillId="0" borderId="23" xfId="454" applyFont="1" applyBorder="1" applyNumberFormat="1">
      <alignment horizontal="left" vertical="top" wrapText="1"/>
    </xf>
    <xf numFmtId="0" fontId="66" fillId="43" borderId="23" xfId="456" applyFont="1" applyFill="1" applyBorder="1" applyNumberFormat="1">
      <alignment horizontal="center" vertical="center" wrapText="1"/>
    </xf>
    <xf numFmtId="0" fontId="66" fillId="0" borderId="32" xfId="459" applyFont="1" applyBorder="1" applyNumberFormat="1">
      <alignment horizontal="left" vertical="top" wrapText="1"/>
    </xf>
    <xf numFmtId="0" fontId="66" fillId="0" borderId="20" xfId="461" applyFont="1" applyBorder="1" applyNumberFormat="1">
      <alignment horizontal="left" vertical="top" wrapText="1"/>
    </xf>
    <xf numFmtId="0" fontId="66" fillId="0" borderId="32" xfId="465" applyFont="1" applyBorder="1" applyNumberFormat="1">
      <alignment vertical="top" wrapText="1"/>
    </xf>
    <xf numFmtId="0" fontId="33" fillId="0" borderId="21" xfId="467" applyFont="1" applyBorder="1" applyNumberFormat="1">
      <alignment horizontal="center" vertical="center" wrapText="1"/>
    </xf>
    <xf numFmtId="0" fontId="33" fillId="0" borderId="21" xfId="468" applyFont="1" applyBorder="1" applyNumberFormat="1">
      <alignment horizontal="center" vertical="center"/>
    </xf>
    <xf numFmtId="0" fontId="33" fillId="0" borderId="23" xfId="470" applyFont="1" applyBorder="1" applyNumberFormat="1">
      <alignment vertical="center" wrapText="1"/>
    </xf>
    <xf numFmtId="0" fontId="33" fillId="0" borderId="23" xfId="472" applyFont="1" applyBorder="1" applyNumberFormat="1">
      <alignment horizontal="center" vertical="center" wrapText="1"/>
    </xf>
    <xf numFmtId="0" fontId="33" fillId="0" borderId="32" xfId="473" applyFont="1" applyBorder="1" applyNumberFormat="1">
      <alignment vertical="center" wrapText="1"/>
    </xf>
    <xf numFmtId="0" fontId="33" fillId="0" borderId="30" xfId="474" applyFont="1" applyBorder="1" applyNumberFormat="1">
      <alignment vertical="center" wrapText="1"/>
    </xf>
    <xf numFmtId="0" fontId="33" fillId="0" borderId="32" xfId="479" applyFont="1" applyBorder="1" applyNumberFormat="1">
      <alignment horizontal="center" vertical="center" wrapText="1"/>
    </xf>
    <xf numFmtId="0" fontId="66" fillId="0" borderId="42" xfId="481" applyFont="1" applyBorder="1" applyNumberFormat="1">
      <alignment horizontal="left" vertical="top" wrapText="1"/>
    </xf>
    <xf numFmtId="0" fontId="23" fillId="45" borderId="23" xfId="485" applyFont="1" applyFill="1" applyBorder="1" applyNumberFormat="1">
      <alignment horizontal="center" vertical="center"/>
    </xf>
    <xf numFmtId="0" fontId="27" fillId="0" borderId="23" xfId="489" applyFont="1" applyBorder="1" applyNumberFormat="1">
      <alignment vertical="center"/>
    </xf>
    <xf numFmtId="0" fontId="23" fillId="0" borderId="23" xfId="490" applyFont="1" applyBorder="1" applyNumberFormat="1">
      <alignment vertical="center"/>
    </xf>
    <xf numFmtId="0" fontId="23" fillId="0" borderId="21" xfId="491" applyFont="1" applyBorder="1" applyNumberFormat="1">
      <alignment vertical="center"/>
    </xf>
    <xf numFmtId="0" fontId="27" fillId="0" borderId="21" xfId="492" applyFont="1" applyBorder="1" applyNumberFormat="1">
      <alignment horizontal="left" vertical="center"/>
    </xf>
    <xf numFmtId="0" fontId="23" fillId="0" borderId="20" xfId="496" applyFont="1" applyBorder="1" applyNumberFormat="1">
      <alignment vertical="center"/>
    </xf>
    <xf numFmtId="0" fontId="23" fillId="0" borderId="23" xfId="497" applyFont="1" applyBorder="1" applyNumberFormat="1">
      <alignment horizontal="right" vertical="top"/>
    </xf>
    <xf numFmtId="0" fontId="23" fillId="0" borderId="23" xfId="498" applyFont="1" applyBorder="1" applyNumberFormat="1">
      <alignment vertical="top"/>
    </xf>
    <xf numFmtId="0" fontId="27" fillId="0" borderId="20" xfId="499" applyFont="1" applyBorder="1" applyNumberFormat="1">
      <alignment vertical="center"/>
    </xf>
    <xf numFmtId="0" fontId="23" fillId="0" borderId="0" xfId="501" applyFont="1" applyNumberFormat="1">
      <alignment vertical="top"/>
    </xf>
    <xf numFmtId="0" fontId="27" fillId="0" borderId="23" xfId="502" applyFont="1" applyBorder="1" applyNumberFormat="1">
      <alignment vertical="top"/>
    </xf>
    <xf numFmtId="0" fontId="23" fillId="48" borderId="0" xfId="503" applyFont="1" applyFill="1" applyNumberFormat="1">
      <alignment horizontal="right" vertical="center"/>
    </xf>
    <xf numFmtId="0" fontId="23" fillId="48" borderId="0" xfId="504" applyFont="1" applyFill="1" applyNumberFormat="1">
      <alignment horizontal="left" vertical="center"/>
    </xf>
    <xf numFmtId="0" fontId="23" fillId="0" borderId="0" xfId="505" applyFont="1" applyNumberFormat="1">
      <alignment horizontal="right" vertical="top"/>
    </xf>
    <xf numFmtId="0" fontId="67" fillId="48" borderId="0" xfId="507" applyFont="1" applyFill="1" applyNumberFormat="1">
      <alignment horizontal="left" vertical="center"/>
    </xf>
    <xf numFmtId="0" fontId="23" fillId="0" borderId="21" xfId="510" applyFont="1" applyBorder="1" applyNumberFormat="1">
      <alignment horizontal="left" vertical="center"/>
    </xf>
    <xf numFmtId="0" fontId="23" fillId="0" borderId="32" xfId="512" applyFont="1" applyBorder="1" applyNumberFormat="1">
      <alignment vertical="top"/>
    </xf>
    <xf numFmtId="0" fontId="27" fillId="0" borderId="32" xfId="513" applyFont="1" applyBorder="1" applyNumberFormat="1">
      <alignment vertical="center"/>
    </xf>
    <xf numFmtId="0" fontId="27" fillId="48" borderId="0" xfId="517" applyFont="1" applyFill="1" applyNumberFormat="1">
      <alignment horizontal="left" vertical="center"/>
    </xf>
    <xf numFmtId="0" fontId="23" fillId="48" borderId="50" xfId="518" applyFont="1" applyFill="1" applyBorder="1" applyNumberFormat="1">
      <alignment horizontal="center"/>
    </xf>
    <xf numFmtId="0" fontId="23" fillId="0" borderId="50" xfId="521" applyFont="1" applyBorder="1" applyNumberFormat="1">
      <alignment horizontal="center"/>
    </xf>
    <xf numFmtId="0" fontId="47" fillId="0" borderId="0" xfId="524" applyFont="1" applyNumberFormat="1">
      <alignment horizontal="center" vertical="center" wrapText="1"/>
    </xf>
    <xf numFmtId="0" fontId="23" fillId="37" borderId="49" xfId="527" applyFont="1" applyFill="1" applyBorder="1" applyNumberFormat="1">
      <alignment horizontal="center" vertical="center"/>
    </xf>
    <xf numFmtId="0" fontId="20" fillId="0" borderId="51" xfId="529" applyFont="1" applyBorder="1" applyNumberFormat="1">
      <alignment horizontal="center" vertical="center"/>
    </xf>
    <xf numFmtId="0" fontId="23" fillId="0" borderId="51" xfId="530" applyFont="1" applyBorder="1" applyNumberFormat="1">
      <alignment horizontal="center" vertical="center"/>
    </xf>
    <xf numFmtId="0" fontId="23" fillId="43" borderId="23" xfId="533" applyFont="1" applyFill="1" applyBorder="1" applyNumberFormat="1">
      <alignment horizontal="right" vertical="center"/>
    </xf>
    <xf numFmtId="0" fontId="27" fillId="0" borderId="0" xfId="536" applyFont="1" applyNumberFormat="1">
      <alignment vertical="top"/>
    </xf>
    <xf numFmtId="0" fontId="27" fillId="37" borderId="35" xfId="539" applyFont="1" applyFill="1" applyBorder="1" applyNumberFormat="1">
      <alignment horizontal="center" vertical="top"/>
    </xf>
    <xf numFmtId="0" fontId="27" fillId="37" borderId="35" xfId="540" applyFont="1" applyFill="1" applyBorder="1" applyNumberFormat="1">
      <alignment horizontal="left" vertical="top"/>
    </xf>
    <xf numFmtId="0" fontId="23" fillId="0" borderId="52" xfId="541" applyFont="1" applyBorder="1" applyNumberFormat="1">
      <alignment horizontal="center" vertical="center"/>
    </xf>
    <xf numFmtId="0" fontId="23" fillId="0" borderId="53" xfId="542" applyFont="1" applyBorder="1" applyNumberFormat="1">
      <alignment horizontal="center" vertical="center"/>
    </xf>
    <xf numFmtId="0" fontId="27" fillId="0" borderId="23" xfId="543" applyFont="1" applyBorder="1" applyNumberFormat="1">
      <alignment horizontal="left" vertical="top"/>
    </xf>
    <xf numFmtId="0" fontId="23" fillId="0" borderId="54" xfId="544" applyFont="1" applyBorder="1" applyNumberFormat="1">
      <alignment horizontal="center" vertical="center"/>
    </xf>
    <xf numFmtId="0" fontId="23" fillId="48" borderId="0" xfId="547" applyFont="1" applyFill="1" applyNumberFormat="1">
      <alignment horizontal="right" vertical="top" wrapText="1"/>
    </xf>
    <xf numFmtId="0" fontId="27" fillId="0" borderId="0" xfId="548" applyFont="1" applyNumberFormat="1">
      <alignment horizontal="left" vertical="top" wrapText="1"/>
    </xf>
    <xf numFmtId="0" fontId="27" fillId="39" borderId="23" xfId="550" applyFont="1" applyFill="1" applyBorder="1" applyNumberFormat="1">
      <alignment horizontal="center" vertical="center"/>
    </xf>
    <xf numFmtId="0" fontId="50" fillId="39" borderId="0" xfId="551" applyFont="1" applyFill="1" applyNumberFormat="1">
      <alignment horizontal="center"/>
    </xf>
    <xf numFmtId="0" fontId="47" fillId="0" borderId="0" xfId="552" applyFont="1" applyNumberFormat="1">
      <alignment vertical="top" wrapText="1"/>
    </xf>
    <xf numFmtId="0" fontId="37" fillId="0" borderId="30" xfId="553" applyFont="1" applyBorder="1" applyNumberFormat="1">
      <alignment horizontal="center" vertical="center" wrapText="1"/>
    </xf>
    <xf numFmtId="0" fontId="37" fillId="0" borderId="23" xfId="554" applyFont="1" applyBorder="1" applyNumberFormat="1">
      <alignment horizontal="center" vertical="center" wrapText="1"/>
    </xf>
    <xf numFmtId="0" fontId="47" fillId="0" borderId="29" xfId="558" applyFont="1" applyBorder="1" applyNumberFormat="1">
      <alignment horizontal="center" vertical="center" wrapText="1"/>
    </xf>
    <xf numFmtId="0" fontId="53" fillId="0" borderId="23" xfId="560" applyFont="1" applyBorder="1" applyNumberFormat="1">
      <alignment horizontal="left" vertical="center" wrapText="1" indent="1"/>
    </xf>
    <xf numFmtId="0" fontId="54" fillId="0" borderId="32" xfId="561" applyFont="1" applyBorder="1" applyNumberFormat="1">
      <alignment horizontal="center" vertical="center" wrapText="1"/>
    </xf>
    <xf numFmtId="0" fontId="53" fillId="0" borderId="23" xfId="564" applyFont="1" applyBorder="1" applyNumberFormat="1">
      <alignment horizontal="left" vertical="top" indent="1"/>
    </xf>
    <xf numFmtId="0" fontId="27" fillId="39" borderId="0" xfId="565" applyFont="1" applyFill="1" applyNumberFormat="1">
      <alignment horizontal="center" vertical="top" wrapText="1"/>
    </xf>
    <xf numFmtId="0" fontId="27" fillId="39" borderId="21" xfId="566" applyFont="1" applyFill="1" applyBorder="1" applyNumberFormat="1">
      <alignment horizontal="center" vertical="center" wrapText="1"/>
    </xf>
    <xf numFmtId="0" fontId="44" fillId="39" borderId="23" xfId="567" applyFont="1" applyFill="1" applyBorder="1" applyNumberFormat="1">
      <alignment horizontal="center" vertical="center" wrapText="1"/>
    </xf>
    <xf numFmtId="0" fontId="70" fillId="39" borderId="0" xfId="573" applyFont="1" applyFill="1" applyNumberFormat="1">
      <alignment vertical="center" wrapText="1"/>
    </xf>
    <xf numFmtId="0" fontId="23" fillId="38" borderId="21" xfId="574" applyFont="1" applyFill="1" applyBorder="1" applyNumberFormat="1">
      <alignment horizontal="left" vertical="center" wrapText="1" indent="2"/>
      <protection locked="0"/>
    </xf>
    <xf numFmtId="0" fontId="50" fillId="0" borderId="29" xfId="575" applyFont="1" applyBorder="1" applyNumberFormat="1">
      <alignment horizontal="center" vertical="center" wrapText="1"/>
    </xf>
    <xf numFmtId="0" fontId="23" fillId="37" borderId="23" xfId="577" applyFont="1" applyFill="1" applyBorder="1" applyNumberFormat="1">
      <alignment horizontal="left" vertical="top" wrapText="1" indent="1"/>
    </xf>
    <xf numFmtId="0" fontId="27" fillId="37" borderId="23" xfId="584" applyFont="1" applyFill="1" applyBorder="1" applyNumberFormat="1">
      <alignment horizontal="center" vertical="top" wrapText="1"/>
    </xf>
    <xf numFmtId="0" fontId="27" fillId="35" borderId="23" xfId="585" applyFont="1" applyFill="1" applyBorder="1" applyNumberFormat="1">
      <alignment horizontal="left" vertical="top" wrapText="1"/>
      <protection locked="0"/>
    </xf>
    <xf numFmtId="0" fontId="27" fillId="0" borderId="29" xfId="588" applyFont="1" applyBorder="1" applyNumberFormat="1">
      <alignment vertical="top" wrapText="1"/>
    </xf>
    <xf numFmtId="0" fontId="27" fillId="41" borderId="21" xfId="593" applyFont="1" applyFill="1" applyBorder="1" applyNumberFormat="1">
      <alignment vertical="center" wrapText="1"/>
    </xf>
    <xf numFmtId="0" fontId="27" fillId="41" borderId="25" xfId="594" applyFont="1" applyFill="1" applyBorder="1" applyNumberFormat="1">
      <alignment vertical="center" wrapText="1"/>
    </xf>
    <xf numFmtId="0" fontId="23" fillId="37" borderId="42" xfId="596" applyFont="1" applyFill="1" applyBorder="1" applyNumberFormat="1">
      <alignment horizontal="left" vertical="top" wrapText="1" indent="1"/>
    </xf>
    <xf numFmtId="0" fontId="27" fillId="37" borderId="42" xfId="603" applyFont="1" applyFill="1" applyBorder="1" applyNumberFormat="1">
      <alignment horizontal="center" vertical="top" wrapText="1"/>
    </xf>
    <xf numFmtId="0" fontId="27" fillId="35" borderId="42" xfId="604" applyFont="1" applyFill="1" applyBorder="1" applyNumberFormat="1">
      <alignment horizontal="left" vertical="top" wrapText="1"/>
      <protection locked="0"/>
    </xf>
    <xf numFmtId="0" fontId="71" fillId="0" borderId="55" xfId="605" applyFont="1" applyBorder="1" applyNumberFormat="1">
      <alignment horizontal="left" vertical="center" indent="1"/>
    </xf>
    <xf numFmtId="0" fontId="71" fillId="0" borderId="56" xfId="606" applyFont="1" applyBorder="1" applyNumberFormat="1">
      <alignment horizontal="left" vertical="center" indent="1"/>
    </xf>
    <xf numFmtId="0" fontId="23" fillId="0" borderId="56" xfId="607" applyFont="1" applyBorder="1" applyNumberFormat="1">
      <alignment horizontal="left" vertical="center" wrapText="1"/>
    </xf>
    <xf numFmtId="0" fontId="27" fillId="0" borderId="56" xfId="608" applyFont="1" applyBorder="1" applyNumberFormat="1">
      <alignment vertical="center" wrapText="1"/>
    </xf>
    <xf numFmtId="0" fontId="27" fillId="0" borderId="57" xfId="609" applyFont="1" applyBorder="1" applyNumberFormat="1">
      <alignment vertical="center" wrapText="1"/>
    </xf>
    <xf numFmtId="0" fontId="27" fillId="0" borderId="58" xfId="610" applyFont="1" applyBorder="1" applyNumberFormat="1">
      <alignment vertical="center" wrapText="1"/>
    </xf>
    <xf numFmtId="0" fontId="27" fillId="0" borderId="28" xfId="611" applyFont="1" applyBorder="1" applyNumberFormat="1">
      <alignment vertical="center" wrapText="1"/>
    </xf>
    <xf numFmtId="0" fontId="72" fillId="0" borderId="23" xfId="620" applyFont="1" applyBorder="1" applyNumberFormat="1">
      <alignment horizontal="center" vertical="center"/>
    </xf>
    <xf numFmtId="0" fontId="72" fillId="0" borderId="23" xfId="627" applyFont="1" applyBorder="1" applyNumberFormat="1">
      <alignment horizontal="left" vertical="center" wrapText="1" indent="1"/>
    </xf>
    <xf numFmtId="0" fontId="23" fillId="41" borderId="61" xfId="634" applyFont="1" applyFill="1" applyBorder="1" applyNumberFormat="1">
      <alignment horizontal="left" vertical="center"/>
    </xf>
    <xf numFmtId="0" fontId="27" fillId="41" borderId="61" xfId="636" applyFont="1" applyFill="1" applyBorder="1" applyNumberFormat="1">
      <alignment vertical="center" wrapText="1"/>
    </xf>
    <xf numFmtId="0" fontId="27" fillId="41" borderId="62" xfId="637" applyFont="1" applyFill="1" applyBorder="1" applyNumberFormat="1">
      <alignment vertical="center" wrapText="1"/>
    </xf>
    <xf numFmtId="0" fontId="49" fillId="0" borderId="23" xfId="643" applyFont="1" applyBorder="1" applyNumberFormat="1">
      <alignment horizontal="center" vertical="center"/>
    </xf>
    <xf numFmtId="0" fontId="49" fillId="40" borderId="23" xfId="654" applyFont="1" applyFill="1" applyBorder="1" applyNumberFormat="1">
      <alignment horizontal="left" vertical="center" wrapText="1" indent="1"/>
    </xf>
    <xf numFmtId="0" fontId="49" fillId="0" borderId="20" xfId="661" applyFont="1" applyBorder="1" applyNumberFormat="1">
      <alignment horizontal="center" vertical="center"/>
    </xf>
    <xf numFmtId="0" fontId="71" fillId="0" borderId="63" xfId="672" applyFont="1" applyBorder="1" applyNumberFormat="1">
      <alignment horizontal="left" vertical="center" indent="1"/>
    </xf>
    <xf numFmtId="0" fontId="27" fillId="0" borderId="64" xfId="674" applyFont="1" applyBorder="1" applyNumberFormat="1">
      <alignment horizontal="right" vertical="center"/>
    </xf>
    <xf numFmtId="0" fontId="27" fillId="0" borderId="64" xfId="675" applyFont="1" applyBorder="1" applyNumberFormat="1">
      <alignment horizontal="center" vertical="center"/>
    </xf>
    <xf numFmtId="0" fontId="27" fillId="0" borderId="25" xfId="676" applyFont="1" applyBorder="1" applyNumberFormat="1">
      <alignment horizontal="right" vertical="center"/>
    </xf>
    <xf numFmtId="0" fontId="27" fillId="0" borderId="20" xfId="677" applyFont="1" applyBorder="1" applyNumberFormat="1">
      <alignment horizontal="right" vertical="center"/>
    </xf>
    <xf numFmtId="0" fontId="27" fillId="0" borderId="23" xfId="678" applyFont="1" applyBorder="1" applyNumberFormat="1">
      <alignment horizontal="right" vertical="center"/>
    </xf>
    <xf numFmtId="0" fontId="27" fillId="43" borderId="23" xfId="680" applyFont="1" applyFill="1" applyBorder="1" applyNumberFormat="1">
      <alignment horizontal="right" vertical="center"/>
    </xf>
    <xf numFmtId="0" fontId="23" fillId="0" borderId="21" xfId="684" applyFont="1" applyBorder="1" applyNumberFormat="1">
      <alignment horizontal="right" vertical="center" wrapText="1" indent="1"/>
    </xf>
    <xf numFmtId="0" fontId="23" fillId="0" borderId="25" xfId="685" applyFont="1" applyBorder="1" applyNumberFormat="1">
      <alignment horizontal="right" vertical="center" wrapText="1" indent="1"/>
    </xf>
    <xf numFmtId="0" fontId="23" fillId="0" borderId="20" xfId="686" applyFont="1" applyBorder="1" applyNumberFormat="1">
      <alignment horizontal="right" vertical="center" wrapText="1" indent="1"/>
    </xf>
    <xf numFmtId="0" fontId="27" fillId="0" borderId="20" xfId="687" applyFont="1" applyBorder="1" applyNumberFormat="1">
      <alignment horizontal="left" vertical="center" wrapText="1" indent="1"/>
    </xf>
    <xf numFmtId="0" fontId="76" fillId="0" borderId="0" xfId="689" applyFont="1" applyNumberFormat="1">
      <alignment vertical="top"/>
    </xf>
    <xf numFmtId="0" fontId="77" fillId="0" borderId="0" xfId="690" applyFont="1" applyNumberFormat="1">
      <alignment vertical="top"/>
    </xf>
    <xf numFmtId="0" fontId="27" fillId="0" borderId="30" xfId="692" applyFont="1" applyBorder="1" applyNumberFormat="1">
      <alignment horizontal="left" vertical="center" wrapText="1"/>
    </xf>
    <xf numFmtId="0" fontId="44" fillId="0" borderId="28" xfId="695" applyFont="1" applyBorder="1" applyNumberFormat="1">
      <alignment vertical="center" wrapText="1"/>
    </xf>
    <xf numFmtId="0" fontId="48" fillId="0" borderId="23" xfId="697" applyFont="1" applyBorder="1" applyNumberFormat="1">
      <alignment horizontal="left" vertical="center" indent="1"/>
    </xf>
    <xf numFmtId="0" fontId="44" fillId="0" borderId="30" xfId="699" applyFont="1" applyBorder="1" applyNumberFormat="1">
      <alignment vertical="center" wrapText="1"/>
    </xf>
    <xf numFmtId="0" fontId="44" fillId="0" borderId="23" xfId="706" applyFont="1" applyBorder="1" applyNumberFormat="1">
      <alignment horizontal="left" vertical="center" indent="1"/>
    </xf>
    <xf numFmtId="0" fontId="27" fillId="0" borderId="23" xfId="710" applyFont="1" applyBorder="1" applyNumberFormat="1">
      <alignment vertical="center" wrapText="1"/>
    </xf>
    <xf numFmtId="0" fontId="23" fillId="0" borderId="23" xfId="712" applyFont="1" applyBorder="1" applyNumberFormat="1">
      <alignment horizontal="left" vertical="center" wrapText="1"/>
    </xf>
    <xf numFmtId="0" fontId="23" fillId="38" borderId="23" xfId="714" applyFont="1" applyFill="1" applyBorder="1" applyNumberFormat="1">
      <alignment horizontal="left" vertical="center" wrapText="1"/>
      <protection locked="0"/>
    </xf>
    <xf numFmtId="0" fontId="23" fillId="0" borderId="23" xfId="716" applyFont="1" applyBorder="1" applyNumberFormat="1">
      <alignment vertical="center" wrapText="1"/>
    </xf>
    <xf numFmtId="0" fontId="27" fillId="40" borderId="23" xfId="724" applyFont="1" applyFill="1" applyBorder="1" applyNumberFormat="1">
      <alignment horizontal="left" vertical="top" wrapText="1"/>
    </xf>
    <xf numFmtId="0" fontId="23" fillId="40" borderId="23" xfId="725" applyFont="1" applyFill="1" applyBorder="1" applyNumberFormat="1">
      <alignment horizontal="left" vertical="center" wrapText="1"/>
    </xf>
    <xf numFmtId="0" fontId="48" fillId="41" borderId="21" xfId="726" applyFont="1" applyFill="1" applyBorder="1" applyNumberFormat="1">
      <alignment horizontal="left" vertical="center"/>
    </xf>
    <xf numFmtId="0" fontId="48" fillId="41" borderId="25" xfId="727" applyFont="1" applyFill="1" applyBorder="1" applyNumberFormat="1">
      <alignment horizontal="left" vertical="center"/>
    </xf>
    <xf numFmtId="0" fontId="48" fillId="41" borderId="20" xfId="728" applyFont="1" applyFill="1" applyBorder="1" applyNumberFormat="1">
      <alignment horizontal="left" vertical="center"/>
    </xf>
    <xf numFmtId="0" fontId="23" fillId="41" borderId="25" xfId="732" applyFont="1" applyFill="1" applyBorder="1" applyNumberFormat="1">
      <alignment vertical="center"/>
    </xf>
    <xf numFmtId="0" fontId="48" fillId="0" borderId="42" xfId="737" applyFont="1" applyBorder="1" applyNumberFormat="1">
      <alignment horizontal="left" vertical="center"/>
    </xf>
    <xf numFmtId="0" fontId="48" fillId="35" borderId="42" xfId="739" applyFont="1" applyFill="1" applyBorder="1" applyNumberFormat="1">
      <alignment horizontal="left" vertical="center"/>
      <protection locked="0"/>
    </xf>
    <xf numFmtId="0" fontId="48" fillId="38" borderId="42" xfId="740" applyFont="1" applyFill="1" applyBorder="1" applyNumberFormat="1">
      <alignment horizontal="left" vertical="center"/>
      <protection locked="0"/>
    </xf>
    <xf numFmtId="0" fontId="44" fillId="0" borderId="21" xfId="743" applyFont="1" applyBorder="1" applyNumberFormat="1">
      <alignment horizontal="left" vertical="center"/>
    </xf>
    <xf numFmtId="0" fontId="44" fillId="0" borderId="25" xfId="744" applyFont="1" applyBorder="1" applyNumberFormat="1">
      <alignment horizontal="left" vertical="center"/>
    </xf>
    <xf numFmtId="0" fontId="48" fillId="41" borderId="34" xfId="745" applyFont="1" applyFill="1" applyBorder="1" applyNumberFormat="1">
      <alignment horizontal="left" vertical="center"/>
    </xf>
    <xf numFmtId="0" fontId="27" fillId="0" borderId="29" xfId="749" applyFont="1" applyBorder="1" applyNumberFormat="1">
      <alignment horizontal="center" vertical="center"/>
    </xf>
    <xf numFmtId="0" fontId="27" fillId="40" borderId="32" xfId="752" applyFont="1" applyFill="1" applyBorder="1" applyNumberFormat="1">
      <alignment horizontal="left" vertical="center" wrapText="1"/>
    </xf>
    <xf numFmtId="0" fontId="27" fillId="0" borderId="42" xfId="754" applyFont="1" applyBorder="1" applyNumberFormat="1">
      <alignment horizontal="left" vertical="center" wrapText="1"/>
    </xf>
    <xf numFmtId="0" fontId="27" fillId="40" borderId="42" xfId="756" applyFont="1" applyFill="1" applyBorder="1" applyNumberFormat="1">
      <alignment horizontal="left" vertical="center" wrapText="1"/>
    </xf>
    <xf numFmtId="0" fontId="48" fillId="0" borderId="30" xfId="758" applyFont="1" applyBorder="1" applyNumberFormat="1">
      <alignment horizontal="left" vertical="center"/>
    </xf>
    <xf numFmtId="0" fontId="48" fillId="41" borderId="33" xfId="759" applyFont="1" applyFill="1" applyBorder="1" applyNumberFormat="1">
      <alignment horizontal="left" vertical="center"/>
    </xf>
    <xf numFmtId="0" fontId="48" fillId="41" borderId="26" xfId="760" applyFont="1" applyFill="1" applyBorder="1" applyNumberFormat="1">
      <alignment horizontal="left" vertical="center"/>
    </xf>
    <xf numFmtId="0" fontId="48" fillId="41" borderId="27" xfId="761" applyFont="1" applyFill="1" applyBorder="1" applyNumberFormat="1">
      <alignment horizontal="left" vertical="center"/>
    </xf>
    <xf numFmtId="0" fontId="48" fillId="41" borderId="33" xfId="764" applyFont="1" applyFill="1" applyBorder="1" applyNumberFormat="1">
      <alignment vertical="center"/>
    </xf>
    <xf numFmtId="0" fontId="27" fillId="39" borderId="0" xfId="768" applyFont="1" applyFill="1" applyNumberFormat="1">
      <alignment horizontal="right" vertical="center" wrapText="1"/>
    </xf>
    <xf numFmtId="0" fontId="27" fillId="39" borderId="0" xfId="769" applyFont="1" applyFill="1" applyNumberFormat="1">
      <alignment horizontal="right" vertical="center"/>
    </xf>
    <xf numFmtId="0" fontId="23" fillId="0" borderId="23" xfId="770" applyFont="1" applyBorder="1" applyNumberFormat="1">
      <alignment horizontal="left" vertical="center" wrapText="1" indent="1"/>
    </xf>
    <xf numFmtId="0" fontId="23" fillId="38" borderId="23" xfId="771" applyFont="1" applyFill="1" applyBorder="1" applyNumberFormat="1">
      <alignment horizontal="left" vertical="center" wrapText="1" indent="2"/>
      <protection locked="0"/>
    </xf>
    <xf numFmtId="0" fontId="27" fillId="0" borderId="32" xfId="773" applyFont="1" applyBorder="1" applyNumberFormat="1">
      <alignment vertical="center" wrapText="1"/>
    </xf>
    <xf numFmtId="0" fontId="56" fillId="0" borderId="23" xfId="777" applyFont="1" applyBorder="1" applyNumberFormat="1">
      <alignment horizontal="left" vertical="center" wrapText="1" indent="2"/>
    </xf>
    <xf numFmtId="0" fontId="27" fillId="0" borderId="32" xfId="779" applyFont="1" applyBorder="1" applyNumberFormat="1">
      <alignment vertical="top" wrapText="1"/>
    </xf>
    <xf numFmtId="0" fontId="27" fillId="0" borderId="30" xfId="780" applyFont="1" applyBorder="1" applyNumberFormat="1">
      <alignment vertical="top" wrapText="1"/>
    </xf>
    <xf numFmtId="0" fontId="70" fillId="0" borderId="0" xfId="782" applyFont="1" applyNumberFormat="1">
      <alignment vertical="center" wrapText="1"/>
    </xf>
    <xf numFmtId="0" fontId="27" fillId="0" borderId="42" xfId="783" applyFont="1" applyBorder="1" applyNumberFormat="1">
      <alignment vertical="center" wrapText="1"/>
    </xf>
    <xf numFmtId="0" fontId="23" fillId="37" borderId="23" xfId="784" applyFont="1" applyFill="1" applyBorder="1" applyNumberFormat="1">
      <alignment horizontal="center" vertical="center" wrapText="1"/>
    </xf>
    <xf numFmtId="0" fontId="27" fillId="40" borderId="23" xfId="787" applyFont="1" applyFill="1" applyBorder="1" applyNumberFormat="1">
      <alignment horizontal="left" vertical="center" wrapText="1"/>
    </xf>
    <xf numFmtId="0" fontId="23" fillId="0" borderId="42" xfId="788" applyFont="1" applyBorder="1" applyNumberFormat="1">
      <alignment horizontal="center" vertical="center" wrapText="1"/>
    </xf>
    <xf numFmtId="0" fontId="27" fillId="0" borderId="0" xfId="789" applyFont="1" applyNumberFormat="1">
      <alignment vertical="top" wrapText="1"/>
    </xf>
    <xf numFmtId="0" fontId="27" fillId="0" borderId="25" xfId="791" applyFont="1" applyBorder="1" applyNumberFormat="1">
      <alignment horizontal="left" vertical="top" wrapText="1" indent="1"/>
    </xf>
    <xf numFmtId="0" fontId="31" fillId="39" borderId="0" xfId="792" applyFont="1" applyFill="1" applyNumberFormat="1">
      <alignment horizontal="center" vertical="center" wrapText="1"/>
    </xf>
    <xf numFmtId="0" fontId="23" fillId="39" borderId="21" xfId="793" applyFont="1" applyFill="1" applyBorder="1" applyNumberFormat="1">
      <alignment horizontal="right" vertical="center" wrapText="1" indent="1"/>
    </xf>
    <xf numFmtId="0" fontId="27" fillId="37" borderId="23" xfId="795" applyFont="1" applyFill="1" applyBorder="1" applyNumberFormat="1">
      <alignment horizontal="left" vertical="center" wrapText="1" indent="1"/>
    </xf>
    <xf numFmtId="0" fontId="27" fillId="39" borderId="32" xfId="796" applyFont="1" applyFill="1" applyBorder="1" applyNumberFormat="1">
      <alignment horizontal="center" vertical="center" wrapText="1"/>
    </xf>
    <xf numFmtId="0" fontId="27" fillId="39" borderId="25" xfId="797" applyFont="1" applyFill="1" applyBorder="1" applyNumberFormat="1">
      <alignment horizontal="center" vertical="center" wrapText="1"/>
    </xf>
    <xf numFmtId="0" fontId="27" fillId="39" borderId="20" xfId="798" applyFont="1" applyFill="1" applyBorder="1" applyNumberFormat="1">
      <alignment horizontal="center" vertical="center" wrapText="1"/>
    </xf>
    <xf numFmtId="0" fontId="27" fillId="39" borderId="30" xfId="799" applyFont="1" applyFill="1" applyBorder="1" applyNumberFormat="1">
      <alignment horizontal="center" vertical="center" wrapText="1"/>
    </xf>
    <xf numFmtId="0" fontId="23" fillId="0" borderId="32" xfId="802" applyFont="1" applyBorder="1" applyNumberFormat="1">
      <alignment horizontal="left" vertical="center" wrapText="1"/>
    </xf>
    <xf numFmtId="0" fontId="70" fillId="39" borderId="0" xfId="803" applyFont="1" applyFill="1" applyNumberFormat="1">
      <alignment horizontal="center" vertical="top" wrapText="1"/>
    </xf>
    <xf numFmtId="0" fontId="23" fillId="37" borderId="21" xfId="804" applyFont="1" applyFill="1" applyBorder="1" applyNumberFormat="1">
      <alignment horizontal="left" vertical="center" wrapText="1" indent="1"/>
    </xf>
    <xf numFmtId="0" fontId="70" fillId="39" borderId="29" xfId="806" applyFont="1" applyFill="1" applyBorder="1" applyNumberFormat="1">
      <alignment horizontal="center" vertical="top" wrapText="1"/>
    </xf>
    <xf numFmtId="0" fontId="23" fillId="37" borderId="30" xfId="808" applyFont="1" applyFill="1" applyBorder="1" applyNumberFormat="1">
      <alignment horizontal="left" vertical="center" wrapText="1" indent="1"/>
    </xf>
    <xf numFmtId="0" fontId="27" fillId="0" borderId="23" xfId="809" applyFont="1" applyBorder="1" applyNumberFormat="1">
      <alignment vertical="top" wrapText="1"/>
    </xf>
    <xf numFmtId="0" fontId="37" fillId="0" borderId="23" xfId="814" applyFont="1" applyBorder="1" applyNumberFormat="1">
      <alignment horizontal="center" vertical="center"/>
    </xf>
    <xf numFmtId="0" fontId="27" fillId="39" borderId="23" xfId="816" applyFont="1" applyFill="1" applyBorder="1" applyNumberFormat="1">
      <alignment horizontal="left" vertical="center" wrapText="1"/>
    </xf>
    <xf numFmtId="0" fontId="27" fillId="0" borderId="23" xfId="817" applyFont="1" applyBorder="1" applyNumberFormat="1">
      <alignment horizontal="left" vertical="center" wrapText="1" indent="6"/>
    </xf>
    <xf numFmtId="0" fontId="27" fillId="37" borderId="21" xfId="818" applyFont="1" applyFill="1" applyBorder="1" applyNumberFormat="1">
      <alignment horizontal="left" vertical="center" wrapText="1"/>
    </xf>
    <xf numFmtId="0" fontId="27" fillId="37" borderId="25" xfId="819" applyFont="1" applyFill="1" applyBorder="1" applyNumberFormat="1">
      <alignment horizontal="left" vertical="center" wrapText="1"/>
    </xf>
    <xf numFmtId="0" fontId="27" fillId="37" borderId="20" xfId="820" applyFont="1" applyFill="1" applyBorder="1" applyNumberFormat="1">
      <alignment horizontal="left" vertical="center" wrapText="1"/>
    </xf>
    <xf numFmtId="0" fontId="49" fillId="0" borderId="23" xfId="821" applyFont="1" applyBorder="1" applyNumberFormat="1">
      <alignment vertical="top" wrapText="1"/>
    </xf>
    <xf numFmtId="0" fontId="37" fillId="0" borderId="21" xfId="822" applyFont="1" applyBorder="1" applyNumberFormat="1">
      <alignment horizontal="center" vertical="center"/>
    </xf>
    <xf numFmtId="0" fontId="46" fillId="39" borderId="0" xfId="823" applyFont="1" applyFill="1" applyNumberFormat="1">
      <alignment horizontal="center" vertical="center" wrapText="1"/>
    </xf>
    <xf numFmtId="0" fontId="27" fillId="0" borderId="29" xfId="824" applyFont="1" applyBorder="1" applyNumberFormat="1">
      <alignment vertical="center" wrapText="1"/>
    </xf>
    <xf numFmtId="0" fontId="27" fillId="39" borderId="23" xfId="825" applyFont="1" applyFill="1" applyBorder="1" applyNumberFormat="1">
      <alignment horizontal="left" vertical="center" wrapText="1" indent="1"/>
    </xf>
    <xf numFmtId="0" fontId="27" fillId="39" borderId="23" xfId="826" applyFont="1" applyFill="1" applyBorder="1" applyNumberFormat="1">
      <alignment horizontal="left" vertical="center" wrapText="1" indent="2"/>
    </xf>
    <xf numFmtId="0" fontId="27" fillId="39" borderId="23" xfId="827" applyFont="1" applyFill="1" applyBorder="1" applyNumberFormat="1">
      <alignment horizontal="left" vertical="center" wrapText="1" indent="3"/>
    </xf>
    <xf numFmtId="0" fontId="37" fillId="0" borderId="0" xfId="828" applyFont="1" applyNumberFormat="1">
      <alignment horizontal="center" vertical="center"/>
    </xf>
    <xf numFmtId="0" fontId="44" fillId="0" borderId="29" xfId="829" applyFont="1" applyBorder="1" applyNumberFormat="1">
      <alignment horizontal="center" vertical="center" wrapText="1"/>
    </xf>
    <xf numFmtId="0" fontId="27" fillId="39" borderId="23" xfId="830" applyFont="1" applyFill="1" applyBorder="1" applyNumberFormat="1">
      <alignment horizontal="left" vertical="center" wrapText="1" indent="4"/>
    </xf>
    <xf numFmtId="0" fontId="27" fillId="40" borderId="25" xfId="831" applyFont="1" applyFill="1" applyBorder="1" applyNumberFormat="1">
      <alignment horizontal="left" vertical="center" wrapText="1"/>
    </xf>
    <xf numFmtId="0" fontId="27" fillId="40" borderId="20" xfId="832" applyFont="1" applyFill="1" applyBorder="1" applyNumberFormat="1">
      <alignment horizontal="left" vertical="center" wrapText="1"/>
    </xf>
    <xf numFmtId="0" fontId="37" fillId="0" borderId="21" xfId="833" applyFont="1" applyBorder="1" applyNumberFormat="1">
      <alignment horizontal="center" vertical="center" wrapText="1"/>
    </xf>
    <xf numFmtId="0" fontId="44" fillId="0" borderId="29" xfId="834" applyFont="1" applyBorder="1" applyNumberFormat="1">
      <alignment vertical="center" wrapText="1"/>
    </xf>
    <xf numFmtId="0" fontId="27" fillId="39" borderId="23" xfId="835" applyFont="1" applyFill="1" applyBorder="1" applyNumberFormat="1">
      <alignment horizontal="left" vertical="center" wrapText="1" indent="5"/>
    </xf>
    <xf numFmtId="0" fontId="27" fillId="40" borderId="23" xfId="836" applyFont="1" applyFill="1" applyBorder="1" applyNumberFormat="1">
      <alignment horizontal="left" vertical="center" wrapText="1" indent="6"/>
    </xf>
    <xf numFmtId="0" fontId="49" fillId="0" borderId="32" xfId="840" applyFont="1" applyBorder="1" applyNumberFormat="1">
      <alignment horizontal="left" vertical="top" wrapText="1"/>
    </xf>
    <xf numFmtId="0" fontId="49" fillId="0" borderId="42" xfId="842" applyFont="1" applyBorder="1" applyNumberFormat="1">
      <alignment horizontal="left" vertical="top" wrapText="1"/>
    </xf>
    <xf numFmtId="0" fontId="49" fillId="0" borderId="30" xfId="846" applyFont="1" applyBorder="1" applyNumberFormat="1">
      <alignment horizontal="left" vertical="top" wrapText="1"/>
    </xf>
    <xf numFmtId="0" fontId="27" fillId="39" borderId="0" xfId="859" applyFont="1" applyFill="1" applyNumberFormat="1">
      <alignment horizontal="left" vertical="center" wrapText="1"/>
    </xf>
    <xf numFmtId="0" fontId="23" fillId="39" borderId="23" xfId="860" applyFont="1" applyFill="1" applyBorder="1" applyNumberFormat="1">
      <alignment horizontal="right" vertical="center" wrapText="1" indent="1"/>
    </xf>
    <xf numFmtId="0" fontId="23" fillId="0" borderId="25" xfId="861" applyFont="1" applyBorder="1" applyNumberFormat="1">
      <alignment vertical="center"/>
    </xf>
    <xf numFmtId="0" fontId="27" fillId="39" borderId="45" xfId="862" applyFont="1" applyFill="1" applyBorder="1" applyNumberFormat="1">
      <alignment vertical="center" wrapText="1"/>
    </xf>
    <xf numFmtId="0" fontId="50" fillId="0" borderId="45" xfId="863" applyFont="1" applyBorder="1" applyNumberFormat="1">
      <alignment horizontal="center" vertical="center" wrapText="1"/>
    </xf>
    <xf numFmtId="0" fontId="23" fillId="39" borderId="21" xfId="864" applyFont="1" applyFill="1" applyBorder="1" applyNumberFormat="1">
      <alignment horizontal="center" vertical="center" wrapText="1"/>
    </xf>
    <xf numFmtId="0" fontId="23" fillId="39" borderId="25" xfId="865" applyFont="1" applyFill="1" applyBorder="1" applyNumberFormat="1">
      <alignment horizontal="center" vertical="center" wrapText="1"/>
    </xf>
    <xf numFmtId="0" fontId="23" fillId="39" borderId="20" xfId="866" applyFont="1" applyFill="1" applyBorder="1" applyNumberFormat="1">
      <alignment horizontal="center" vertical="center" wrapText="1"/>
    </xf>
    <xf numFmtId="0" fontId="37" fillId="0" borderId="32" xfId="868" applyFont="1" applyBorder="1" applyNumberFormat="1">
      <alignment horizontal="center" vertical="center" wrapText="1"/>
    </xf>
    <xf numFmtId="0" fontId="27" fillId="39" borderId="42" xfId="869" applyFont="1" applyFill="1" applyBorder="1" applyNumberFormat="1">
      <alignment horizontal="center" vertical="center" wrapText="1"/>
    </xf>
    <xf numFmtId="0" fontId="27" fillId="0" borderId="30" xfId="871" applyFont="1" applyBorder="1" applyNumberFormat="1">
      <alignment vertical="center" wrapText="1"/>
    </xf>
    <xf numFmtId="0" fontId="81" fillId="39" borderId="0" xfId="873" applyFont="1" applyFill="1" applyNumberFormat="1">
      <alignment vertical="center" wrapText="1"/>
    </xf>
    <xf numFmtId="0" fontId="82" fillId="39" borderId="0" xfId="874" applyFont="1" applyFill="1" applyNumberFormat="1">
      <alignment vertical="center" wrapText="1"/>
    </xf>
    <xf numFmtId="0" fontId="44" fillId="39" borderId="26" xfId="877" applyFont="1" applyFill="1" applyBorder="1" applyNumberFormat="1">
      <alignment horizontal="center" vertical="center" wrapText="1"/>
    </xf>
    <xf numFmtId="0" fontId="65" fillId="39" borderId="26" xfId="878" applyFont="1" applyFill="1" applyBorder="1" applyNumberFormat="1">
      <alignment horizontal="center" vertical="center" wrapText="1"/>
    </xf>
    <xf numFmtId="0" fontId="37" fillId="0" borderId="0" xfId="879" applyFont="1" applyNumberFormat="1">
      <alignment horizontal="left" vertical="center" indent="1"/>
    </xf>
    <xf numFmtId="0" fontId="23" fillId="39" borderId="26" xfId="885" applyFont="1" applyFill="1" applyBorder="1" applyNumberFormat="1">
      <alignment horizontal="center" vertical="center" wrapText="1"/>
    </xf>
    <xf numFmtId="0" fontId="44" fillId="0" borderId="32" xfId="886" applyFont="1" applyBorder="1" applyNumberFormat="1">
      <alignment horizontal="center" vertical="center" wrapText="1"/>
    </xf>
    <xf numFmtId="0" fontId="44" fillId="0" borderId="23" xfId="887" applyFont="1" applyBorder="1" applyNumberFormat="1">
      <alignment horizontal="left" vertical="center" wrapText="1" indent="4"/>
    </xf>
    <xf numFmtId="0" fontId="44" fillId="0" borderId="23" xfId="888" applyFont="1" applyBorder="1" applyNumberFormat="1">
      <alignment horizontal="left" vertical="center" wrapText="1" indent="6"/>
    </xf>
    <xf numFmtId="0" fontId="44" fillId="0" borderId="21" xfId="889" applyFont="1" applyBorder="1" applyNumberFormat="1">
      <alignment horizontal="left" vertical="center" wrapText="1"/>
    </xf>
    <xf numFmtId="0" fontId="44" fillId="0" borderId="25" xfId="890" applyFont="1" applyBorder="1" applyNumberFormat="1">
      <alignment horizontal="left" vertical="center" wrapText="1"/>
    </xf>
    <xf numFmtId="0" fontId="44" fillId="0" borderId="20" xfId="891" applyFont="1" applyBorder="1" applyNumberFormat="1">
      <alignment horizontal="left" vertical="center" wrapText="1"/>
    </xf>
    <xf numFmtId="0" fontId="44" fillId="0" borderId="23" xfId="892" applyFont="1" applyBorder="1" applyNumberFormat="1">
      <alignment vertical="top" wrapText="1"/>
    </xf>
    <xf numFmtId="0" fontId="44" fillId="0" borderId="0" xfId="897" applyFont="1" applyNumberFormat="1">
      <alignment horizontal="center" vertical="center"/>
    </xf>
    <xf numFmtId="0" fontId="27" fillId="39" borderId="32" xfId="898" applyFont="1" applyFill="1" applyBorder="1" applyNumberFormat="1">
      <alignment horizontal="left" vertical="center" wrapText="1"/>
    </xf>
    <xf numFmtId="0" fontId="27" fillId="39" borderId="32" xfId="899" applyFont="1" applyFill="1" applyBorder="1" applyNumberFormat="1">
      <alignment horizontal="left" vertical="center" wrapText="1" indent="2"/>
    </xf>
    <xf numFmtId="0" fontId="27" fillId="0" borderId="32" xfId="900" applyFont="1" applyBorder="1" applyNumberFormat="1">
      <alignment horizontal="left" vertical="center" wrapText="1" indent="6"/>
    </xf>
    <xf numFmtId="0" fontId="27" fillId="37" borderId="33" xfId="901" applyFont="1" applyFill="1" applyBorder="1" applyNumberFormat="1">
      <alignment horizontal="left" vertical="center" wrapText="1"/>
    </xf>
    <xf numFmtId="0" fontId="27" fillId="37" borderId="26" xfId="902" applyFont="1" applyFill="1" applyBorder="1" applyNumberFormat="1">
      <alignment horizontal="left" vertical="center" wrapText="1"/>
    </xf>
    <xf numFmtId="0" fontId="27" fillId="37" borderId="27" xfId="903" applyFont="1" applyFill="1" applyBorder="1" applyNumberFormat="1">
      <alignment horizontal="left" vertical="center" wrapText="1"/>
    </xf>
    <xf numFmtId="0" fontId="27" fillId="37" borderId="23" xfId="904" applyFont="1" applyFill="1" applyBorder="1" applyNumberFormat="1">
      <alignment horizontal="left" vertical="center" wrapText="1"/>
    </xf>
    <xf numFmtId="0" fontId="49" fillId="0" borderId="20" xfId="905" applyFont="1" applyBorder="1" applyNumberFormat="1">
      <alignment vertical="top" wrapText="1"/>
    </xf>
    <xf numFmtId="0" fontId="44" fillId="0" borderId="20" xfId="906" applyFont="1" applyBorder="1" applyNumberFormat="1">
      <alignment vertical="top" wrapText="1"/>
    </xf>
    <xf numFmtId="0" fontId="27" fillId="39" borderId="30" xfId="907" applyFont="1" applyFill="1" applyBorder="1" applyNumberFormat="1">
      <alignment horizontal="left" vertical="center" wrapText="1"/>
    </xf>
    <xf numFmtId="0" fontId="27" fillId="40" borderId="30" xfId="908" applyFont="1" applyFill="1" applyBorder="1" applyNumberFormat="1">
      <alignment horizontal="left" vertical="center" wrapText="1" indent="6"/>
    </xf>
    <xf numFmtId="0" fontId="27" fillId="0" borderId="30" xfId="909" applyFont="1" applyBorder="1" applyNumberFormat="1">
      <alignment horizontal="left" vertical="center" wrapText="1" indent="6"/>
    </xf>
    <xf numFmtId="0" fontId="27" fillId="0" borderId="23" xfId="913" applyFont="1" applyBorder="1" applyNumberFormat="1">
      <alignment horizontal="center" vertical="center"/>
    </xf>
    <xf numFmtId="0" fontId="27" fillId="0" borderId="21" xfId="914" applyFont="1" applyBorder="1" applyNumberFormat="1">
      <alignment horizontal="center" vertical="center"/>
    </xf>
    <xf numFmtId="0" fontId="27" fillId="0" borderId="0" xfId="915" applyFont="1" applyNumberFormat="1">
      <alignment horizontal="center" vertical="center"/>
    </xf>
    <xf numFmtId="0" fontId="27" fillId="40" borderId="27" xfId="916" applyFont="1" applyFill="1" applyBorder="1" applyNumberFormat="1">
      <alignment horizontal="left" vertical="center" wrapText="1"/>
    </xf>
    <xf numFmtId="0" fontId="49" fillId="0" borderId="32" xfId="919" applyFont="1" applyBorder="1" applyNumberFormat="1">
      <alignment vertical="top" wrapText="1"/>
    </xf>
    <xf numFmtId="0" fontId="27" fillId="35" borderId="23" xfId="920" applyFont="1" applyFill="1" applyBorder="1" applyNumberFormat="1">
      <alignment horizontal="left" vertical="center" wrapText="1" indent="7"/>
      <protection locked="0"/>
    </xf>
    <xf numFmtId="0" fontId="27" fillId="41" borderId="25" xfId="923" applyFont="1" applyFill="1" applyBorder="1" applyNumberFormat="1">
      <alignment horizontal="left" vertical="center" wrapText="1" indent="6"/>
    </xf>
    <xf numFmtId="0" fontId="27" fillId="0" borderId="26" xfId="929" applyFont="1" applyBorder="1" applyNumberFormat="1">
      <alignment horizontal="center" vertical="center" wrapText="1"/>
    </xf>
    <xf numFmtId="0" fontId="27" fillId="0" borderId="45" xfId="930" applyFont="1" applyBorder="1" applyNumberFormat="1">
      <alignment horizontal="center" vertical="center" wrapText="1"/>
    </xf>
    <xf numFmtId="0" fontId="55" fillId="0" borderId="0" xfId="931" applyFont="1" applyNumberFormat="1">
      <alignment horizontal="left" vertical="center" indent="1"/>
    </xf>
    <xf numFmtId="0" fontId="55" fillId="0" borderId="0" xfId="932" applyFont="1" applyNumberFormat="1">
      <alignment horizontal="center" vertical="center"/>
    </xf>
    <xf numFmtId="0" fontId="45" fillId="39" borderId="0" xfId="933" applyFont="1" applyFill="1" applyNumberFormat="1">
      <alignment horizontal="center" vertical="center" wrapText="1"/>
    </xf>
    <xf numFmtId="0" fontId="44" fillId="0" borderId="23" xfId="934" applyFont="1" applyBorder="1" applyNumberFormat="1">
      <alignment horizontal="left" vertical="center" wrapText="1" indent="5"/>
    </xf>
    <xf numFmtId="0" fontId="44" fillId="0" borderId="29" xfId="935" applyFont="1" applyBorder="1" applyNumberFormat="1">
      <alignment horizontal="center" vertical="top" wrapText="1"/>
    </xf>
    <xf numFmtId="0" fontId="50" fillId="0" borderId="23" xfId="937" applyFont="1" applyBorder="1" applyNumberFormat="1">
      <alignment horizontal="center" vertical="center" wrapText="1"/>
    </xf>
    <xf numFmtId="0" fontId="27" fillId="0" borderId="23" xfId="938" applyFont="1" applyBorder="1" applyNumberFormat="1">
      <alignment horizontal="left" vertical="center" wrapText="1" indent="4"/>
    </xf>
    <xf numFmtId="0" fontId="27" fillId="39" borderId="42" xfId="939" applyFont="1" applyFill="1" applyBorder="1" applyNumberFormat="1">
      <alignment horizontal="left" vertical="center" wrapText="1"/>
    </xf>
    <xf numFmtId="0" fontId="44" fillId="0" borderId="29" xfId="951" applyFont="1" applyBorder="1" applyNumberFormat="1">
      <alignment horizontal="left" vertical="center" wrapText="1" indent="1"/>
    </xf>
    <xf numFmtId="0" fontId="37" fillId="0" borderId="0" xfId="954" applyFont="1" applyNumberFormat="1">
      <alignment horizontal="left" vertical="center"/>
    </xf>
    <xf numFmtId="0" fontId="83" fillId="39" borderId="0" xfId="955" applyFont="1" applyFill="1" applyNumberFormat="1">
      <alignment vertical="center" wrapText="1"/>
    </xf>
    <xf numFmtId="0" fontId="27" fillId="39" borderId="33" xfId="956" applyFont="1" applyFill="1" applyBorder="1" applyNumberFormat="1">
      <alignment horizontal="center" vertical="center" wrapText="1"/>
    </xf>
    <xf numFmtId="0" fontId="23" fillId="39" borderId="33" xfId="957" applyFont="1" applyFill="1" applyBorder="1" applyNumberFormat="1">
      <alignment horizontal="center" vertical="center" wrapText="1"/>
    </xf>
    <xf numFmtId="0" fontId="23" fillId="39" borderId="27" xfId="958" applyFont="1" applyFill="1" applyBorder="1" applyNumberFormat="1">
      <alignment horizontal="center" vertical="center" wrapText="1"/>
    </xf>
    <xf numFmtId="0" fontId="27" fillId="39" borderId="28" xfId="959" applyFont="1" applyFill="1" applyBorder="1" applyNumberFormat="1">
      <alignment horizontal="center" vertical="center" wrapText="1"/>
    </xf>
    <xf numFmtId="0" fontId="23" fillId="39" borderId="28" xfId="960" applyFont="1" applyFill="1" applyBorder="1" applyNumberFormat="1">
      <alignment horizontal="center" vertical="center" wrapText="1"/>
    </xf>
    <xf numFmtId="0" fontId="23" fillId="39" borderId="0" xfId="961" applyFont="1" applyFill="1" applyNumberFormat="1">
      <alignment horizontal="center" vertical="center" wrapText="1"/>
    </xf>
    <xf numFmtId="0" fontId="23" fillId="39" borderId="29" xfId="962" applyFont="1" applyFill="1" applyBorder="1" applyNumberFormat="1">
      <alignment horizontal="center" vertical="center" wrapText="1"/>
    </xf>
    <xf numFmtId="0" fontId="27" fillId="37" borderId="23" xfId="963" applyFont="1" applyFill="1" applyBorder="1" applyNumberFormat="1">
      <alignment horizontal="center" vertical="center" wrapText="1"/>
    </xf>
    <xf numFmtId="0" fontId="27" fillId="38" borderId="23" xfId="964" applyFont="1" applyFill="1" applyBorder="1" applyNumberFormat="1">
      <alignment horizontal="center" vertical="center" wrapText="1"/>
      <protection locked="0"/>
    </xf>
    <xf numFmtId="0" fontId="27" fillId="39" borderId="35" xfId="965" applyFont="1" applyFill="1" applyBorder="1" applyNumberFormat="1">
      <alignment horizontal="center" vertical="center" wrapText="1"/>
    </xf>
    <xf numFmtId="0" fontId="23" fillId="39" borderId="35" xfId="966" applyFont="1" applyFill="1" applyBorder="1" applyNumberFormat="1">
      <alignment horizontal="center" vertical="center" wrapText="1"/>
    </xf>
    <xf numFmtId="0" fontId="23" fillId="39" borderId="45" xfId="967" applyFont="1" applyFill="1" applyBorder="1" applyNumberFormat="1">
      <alignment horizontal="center" vertical="center" wrapText="1"/>
    </xf>
    <xf numFmtId="0" fontId="23" fillId="39" borderId="34" xfId="968" applyFont="1" applyFill="1" applyBorder="1" applyNumberFormat="1">
      <alignment horizontal="center" vertical="center" wrapText="1"/>
    </xf>
    <xf numFmtId="0" fontId="27" fillId="0" borderId="23" xfId="969" applyFont="1" applyBorder="1" applyNumberFormat="1">
      <alignment horizontal="left" vertical="center" wrapText="1" indent="1"/>
    </xf>
    <xf numFmtId="0" fontId="83" fillId="0" borderId="0" xfId="972" applyFont="1" applyNumberFormat="1">
      <alignment vertical="center" wrapText="1"/>
    </xf>
    <xf numFmtId="0" fontId="21" fillId="0" borderId="26" xfId="973" applyFont="1" applyBorder="1" applyNumberFormat="1">
      <alignment horizontal="left" vertical="center" wrapText="1" indent="1"/>
    </xf>
    <xf numFmtId="0" fontId="21" fillId="0" borderId="45" xfId="974" applyFont="1" applyBorder="1" applyNumberFormat="1">
      <alignment horizontal="left" vertical="center" wrapText="1" indent="1"/>
    </xf>
    <xf numFmtId="0" fontId="27" fillId="0" borderId="0" xfId="987" applyFont="1" applyNumberFormat="1">
      <alignment horizontal="left" vertical="center"/>
    </xf>
    <xf numFmtId="0" fontId="27" fillId="38" borderId="20" xfId="988" applyFont="1" applyFill="1" applyBorder="1" applyNumberFormat="1">
      <alignment horizontal="center" vertical="center" wrapText="1"/>
      <protection locked="0"/>
    </xf>
    <xf numFmtId="0" fontId="27" fillId="39" borderId="34" xfId="989" applyFont="1" applyFill="1" applyBorder="1" applyNumberFormat="1">
      <alignment horizontal="center" vertical="center" wrapText="1"/>
    </xf>
    <xf numFmtId="0" fontId="23" fillId="0" borderId="23" xfId="991" applyFont="1" applyBorder="1" applyNumberFormat="1">
      <alignment horizontal="left" vertical="center" wrapText="1" indent="2"/>
    </xf>
    <xf numFmtId="0" fontId="27" fillId="0" borderId="0" xfId="994" applyFont="1" applyNumberFormat="1">
      <alignment horizontal="right" vertical="top" wrapText="1"/>
    </xf>
    <xf numFmtId="0" fontId="23" fillId="0" borderId="23" xfId="995" applyFont="1" applyBorder="1" applyNumberFormat="1">
      <alignment horizontal="left" vertical="top" wrapText="1"/>
    </xf>
    <xf numFmtId="0" fontId="27" fillId="0" borderId="26" xfId="996" applyFont="1" applyBorder="1" applyNumberFormat="1">
      <alignment vertical="center" wrapText="1"/>
    </xf>
    <xf numFmtId="0" fontId="27" fillId="0" borderId="26" xfId="1000" applyFont="1" applyBorder="1" applyNumberFormat="1">
      <alignment horizontal="left" vertical="top" wrapText="1"/>
    </xf>
    <xf numFmtId="0" fontId="27" fillId="0" borderId="21" xfId="1001" applyFont="1" applyBorder="1" applyNumberFormat="1">
      <alignment vertical="center" wrapText="1"/>
    </xf>
    <xf numFmtId="0" fontId="27" fillId="0" borderId="25" xfId="1002" applyFont="1" applyBorder="1" applyNumberFormat="1">
      <alignment horizontal="right" vertical="center" wrapText="1" indent="1"/>
    </xf>
    <xf numFmtId="0" fontId="27" fillId="0" borderId="20" xfId="1003" applyFont="1" applyBorder="1" applyNumberFormat="1">
      <alignment horizontal="right" vertical="center" wrapText="1" indent="1"/>
    </xf>
    <xf numFmtId="0" fontId="27" fillId="37" borderId="21" xfId="1004" applyFont="1" applyFill="1" applyBorder="1" applyNumberFormat="1">
      <alignment horizontal="left" vertical="top" wrapText="1" indent="1"/>
    </xf>
    <xf numFmtId="0" fontId="27" fillId="37" borderId="20" xfId="1005" applyFont="1" applyFill="1" applyBorder="1" applyNumberFormat="1">
      <alignment horizontal="left" vertical="top" wrapText="1" indent="1"/>
    </xf>
    <xf numFmtId="0" fontId="27" fillId="0" borderId="21" xfId="1006" applyFont="1" applyBorder="1" applyNumberFormat="1">
      <alignment horizontal="right" vertical="center" wrapText="1"/>
    </xf>
    <xf numFmtId="0" fontId="27" fillId="0" borderId="25" xfId="1007" applyFont="1" applyBorder="1" applyNumberFormat="1">
      <alignment horizontal="right" vertical="center" wrapText="1"/>
    </xf>
    <xf numFmtId="0" fontId="27" fillId="0" borderId="20" xfId="1011" applyFont="1" applyBorder="1" applyNumberFormat="1">
      <alignment vertical="center" wrapText="1"/>
    </xf>
    <xf numFmtId="0" fontId="87" fillId="0" borderId="0" xfId="1015" applyFont="1" applyNumberFormat="1">
      <alignment vertical="center" wrapText="1"/>
    </xf>
    <xf numFmtId="0" fontId="37" fillId="0" borderId="23" xfId="1019" applyFont="1" applyBorder="1" applyNumberFormat="1">
      <alignment vertical="top" wrapText="1"/>
    </xf>
    <xf numFmtId="0" fontId="23" fillId="0" borderId="21" xfId="1020" applyFont="1" applyBorder="1" applyNumberFormat="1">
      <alignment horizontal="center" vertical="center"/>
    </xf>
    <xf numFmtId="0" fontId="37" fillId="41" borderId="20" xfId="1024" applyFont="1" applyFill="1" applyBorder="1" applyNumberFormat="1">
      <alignment vertical="center" wrapText="1"/>
    </xf>
    <xf numFmtId="0" fontId="27" fillId="41" borderId="26" xfId="1025" applyFont="1" applyFill="1" applyBorder="1" applyNumberFormat="1">
      <alignment vertical="center" wrapText="1"/>
    </xf>
    <xf numFmtId="0" fontId="27" fillId="41" borderId="45" xfId="1026" applyFont="1" applyFill="1" applyBorder="1" applyNumberFormat="1">
      <alignment vertical="center" wrapText="1"/>
    </xf>
    <xf numFmtId="0" fontId="27" fillId="35" borderId="21" xfId="1027" applyFont="1" applyFill="1" applyBorder="1" applyNumberFormat="1">
      <alignment horizontal="left" vertical="center" wrapText="1"/>
      <protection locked="0"/>
    </xf>
    <xf numFmtId="0" fontId="27" fillId="35" borderId="25" xfId="1028" applyFont="1" applyFill="1" applyBorder="1" applyNumberFormat="1">
      <alignment horizontal="left" vertical="center" wrapText="1"/>
      <protection locked="0"/>
    </xf>
    <xf numFmtId="0" fontId="27" fillId="35" borderId="20" xfId="1029" applyFont="1" applyFill="1" applyBorder="1" applyNumberFormat="1">
      <alignment horizontal="left" vertical="center" wrapText="1"/>
      <protection locked="0"/>
    </xf>
    <xf numFmtId="0" fontId="49" fillId="0" borderId="23" xfId="1034" applyFont="1" applyBorder="1" applyNumberFormat="1">
      <alignment horizontal="left" vertical="top" wrapText="1"/>
    </xf>
    <xf numFmtId="0" fontId="88" fillId="39" borderId="0" xfId="1036" applyFont="1" applyFill="1" applyNumberFormat="1">
      <alignment horizontal="center" vertical="center" wrapText="1"/>
    </xf>
    <xf numFmtId="0" fontId="44" fillId="39" borderId="23" xfId="1037" applyFont="1" applyFill="1" applyBorder="1" applyNumberFormat="1">
      <alignment horizontal="left" vertical="center" wrapText="1" indent="3"/>
    </xf>
    <xf numFmtId="0" fontId="44" fillId="0" borderId="26" xfId="1043" applyFont="1" applyBorder="1" applyNumberFormat="1">
      <alignment horizontal="left" vertical="center" wrapText="1"/>
    </xf>
    <xf numFmtId="0" fontId="27" fillId="0" borderId="66" xfId="1044" applyFont="1" applyBorder="1" applyNumberFormat="1">
      <alignment horizontal="center" vertical="center" wrapText="1"/>
    </xf>
    <xf numFmtId="0" fontId="27" fillId="38" borderId="23" xfId="1045" applyFont="1" applyFill="1" applyBorder="1" applyNumberFormat="1">
      <alignment horizontal="left" vertical="center" wrapText="1" indent="2"/>
      <protection locked="0"/>
    </xf>
    <xf numFmtId="0" fontId="44" fillId="0" borderId="66" xfId="1046" applyFont="1" applyBorder="1" applyNumberFormat="1">
      <alignment horizontal="center" vertical="center" wrapText="1"/>
    </xf>
    <xf numFmtId="0" fontId="44" fillId="0" borderId="23" xfId="1047" applyFont="1" applyBorder="1" applyNumberFormat="1">
      <alignment horizontal="left" vertical="center" wrapText="1" indent="2"/>
    </xf>
    <xf numFmtId="0" fontId="27" fillId="0" borderId="23" xfId="1048" applyFont="1" applyBorder="1" applyNumberFormat="1">
      <alignment horizontal="left" vertical="center" wrapText="1" indent="3"/>
    </xf>
    <xf numFmtId="0" fontId="27" fillId="35" borderId="23" xfId="1050" applyFont="1" applyFill="1" applyBorder="1" applyNumberFormat="1">
      <alignment horizontal="left" vertical="center" wrapText="1"/>
      <protection locked="0"/>
    </xf>
    <xf numFmtId="0" fontId="27" fillId="0" borderId="20" xfId="1051" applyFont="1" applyBorder="1" applyNumberFormat="1">
      <alignment vertical="top" wrapText="1"/>
    </xf>
    <xf numFmtId="0" fontId="27" fillId="0" borderId="27" xfId="1053" applyFont="1" applyBorder="1" applyNumberFormat="1">
      <alignment vertical="center" wrapText="1"/>
    </xf>
    <xf numFmtId="0" fontId="80" fillId="39" borderId="0" xfId="1054" applyFont="1" applyFill="1" applyNumberFormat="1">
      <alignment horizontal="right" vertical="center"/>
    </xf>
    <xf numFmtId="0" fontId="27" fillId="37" borderId="21" xfId="1055" applyFont="1" applyFill="1" applyBorder="1" applyNumberFormat="1">
      <alignment horizontal="left" vertical="top" wrapText="1"/>
    </xf>
    <xf numFmtId="0" fontId="55" fillId="0" borderId="0" xfId="1058" applyFont="1" applyNumberFormat="1">
      <alignment horizontal="center" vertical="center" wrapText="1"/>
    </xf>
    <xf numFmtId="0" fontId="55" fillId="0" borderId="23" xfId="1060" applyFont="1" applyBorder="1" applyNumberFormat="1">
      <alignment horizontal="left" vertical="center" wrapText="1" indent="2"/>
    </xf>
    <xf numFmtId="0" fontId="55" fillId="0" borderId="23" xfId="1061" applyFont="1" applyBorder="1" applyNumberFormat="1">
      <alignment horizontal="center" vertical="center" wrapText="1"/>
    </xf>
    <xf numFmtId="0" fontId="55" fillId="0" borderId="23" xfId="1062" applyFont="1" applyBorder="1" applyNumberFormat="1">
      <alignment vertical="center" wrapText="1"/>
    </xf>
    <xf numFmtId="0" fontId="55" fillId="0" borderId="66" xfId="1063" applyFont="1" applyBorder="1" applyNumberFormat="1">
      <alignment horizontal="center" vertical="center" wrapText="1"/>
    </xf>
    <xf numFmtId="0" fontId="55" fillId="0" borderId="23" xfId="1064" applyFont="1" applyBorder="1" applyNumberFormat="1">
      <alignment horizontal="left" vertical="center" wrapText="1" indent="3"/>
    </xf>
    <xf numFmtId="0" fontId="27" fillId="0" borderId="23" xfId="1067" applyFont="1" applyBorder="1" applyNumberFormat="1">
      <alignment horizontal="left" vertical="center" wrapText="1" indent="2"/>
    </xf>
    <xf numFmtId="0" fontId="37" fillId="0" borderId="0" xfId="1070" applyFont="1" applyNumberFormat="1">
      <alignment horizontal="left" vertical="center" wrapText="1"/>
    </xf>
    <xf numFmtId="0" fontId="44" fillId="0" borderId="23" xfId="1072" applyFont="1" applyBorder="1" applyNumberFormat="1">
      <alignment horizontal="left" vertical="center" wrapText="1" indent="3"/>
    </xf>
    <xf numFmtId="0" fontId="44" fillId="0" borderId="32" xfId="1074" applyFont="1" applyBorder="1" applyNumberFormat="1">
      <alignment vertical="top" wrapText="1"/>
    </xf>
    <xf numFmtId="0" fontId="27" fillId="0" borderId="21" xfId="1075" applyFont="1" applyBorder="1" applyNumberFormat="1">
      <alignment horizontal="left" vertical="center" wrapText="1" indent="2"/>
    </xf>
    <xf numFmtId="0" fontId="27" fillId="0" borderId="21" xfId="1077" applyFont="1" applyBorder="1" applyNumberFormat="1">
      <alignment horizontal="left" vertical="center" wrapText="1" indent="1"/>
    </xf>
    <xf numFmtId="0" fontId="44" fillId="0" borderId="42" xfId="1084" applyFont="1" applyBorder="1" applyNumberFormat="1">
      <alignment horizontal="left" vertical="center" wrapText="1" indent="1"/>
    </xf>
    <xf numFmtId="0" fontId="44" fillId="0" borderId="42" xfId="1085" applyFont="1" applyBorder="1" applyNumberFormat="1">
      <alignment horizontal="center" vertical="center" wrapText="1"/>
    </xf>
    <xf numFmtId="0" fontId="44" fillId="0" borderId="32" xfId="1086" applyFont="1" applyBorder="1" applyNumberFormat="1">
      <alignment vertical="center" wrapText="1"/>
    </xf>
    <xf numFmtId="0" fontId="44" fillId="0" borderId="30" xfId="1090" applyFont="1" applyBorder="1" applyNumberFormat="1">
      <alignment horizontal="left" vertical="center" wrapText="1" indent="1"/>
    </xf>
    <xf numFmtId="0" fontId="44" fillId="0" borderId="32" xfId="1091" applyFont="1" applyBorder="1" applyNumberFormat="1">
      <alignment horizontal="left" vertical="center" wrapText="1" indent="1"/>
    </xf>
    <xf numFmtId="0" fontId="67" fillId="0" borderId="0" xfId="1093" applyFont="1" applyNumberFormat="1">
      <alignment vertical="center" wrapText="1"/>
    </xf>
    <xf numFmtId="0" fontId="27" fillId="0" borderId="45" xfId="1094" applyFont="1" applyBorder="1" applyNumberFormat="1">
      <alignment vertical="center" wrapText="1"/>
    </xf>
    <xf numFmtId="0" fontId="84" fillId="39" borderId="0" xfId="1095" applyFont="1" applyFill="1" applyNumberFormat="1">
      <alignment horizontal="right" vertical="center"/>
    </xf>
    <xf numFmtId="0" fontId="44" fillId="0" borderId="21" xfId="1101" applyFont="1" applyBorder="1" applyNumberFormat="1">
      <alignment vertical="center" wrapText="1"/>
    </xf>
    <xf numFmtId="0" fontId="44" fillId="0" borderId="25" xfId="1102" applyFont="1" applyBorder="1" applyNumberFormat="1">
      <alignment horizontal="right" vertical="center" wrapText="1" indent="1"/>
    </xf>
    <xf numFmtId="0" fontId="44" fillId="0" borderId="20" xfId="1103" applyFont="1" applyBorder="1" applyNumberFormat="1">
      <alignment horizontal="right" vertical="center" wrapText="1" indent="1"/>
    </xf>
    <xf numFmtId="0" fontId="44" fillId="0" borderId="21" xfId="1104" applyFont="1" applyBorder="1" applyNumberFormat="1">
      <alignment horizontal="left" vertical="top" wrapText="1"/>
    </xf>
    <xf numFmtId="0" fontId="89" fillId="0" borderId="0" xfId="1106" applyFont="1" applyNumberFormat="1">
      <alignment vertical="center" wrapText="1"/>
    </xf>
    <xf numFmtId="0" fontId="44" fillId="0" borderId="45" xfId="1113" applyFont="1" applyBorder="1" applyNumberFormat="1">
      <alignment vertical="center" wrapText="1"/>
    </xf>
    <xf numFmtId="0" fontId="27" fillId="37" borderId="20" xfId="1114" applyFont="1" applyFill="1" applyBorder="1" applyNumberFormat="1">
      <alignment horizontal="left" vertical="top" wrapText="1"/>
    </xf>
    <xf numFmtId="0" fontId="90" fillId="0" borderId="28" xfId="1117" applyFont="1" applyBorder="1" applyNumberFormat="1">
      <alignment vertical="center" wrapText="1"/>
    </xf>
    <xf numFmtId="0" fontId="27" fillId="0" borderId="52" xfId="1122" applyFont="1" applyBorder="1" applyNumberFormat="1">
      <alignment horizontal="left" vertical="center" wrapText="1"/>
    </xf>
    <xf numFmtId="0" fontId="27" fillId="0" borderId="54" xfId="1126" applyFont="1" applyBorder="1" applyNumberFormat="1">
      <alignment horizontal="left" vertical="center" wrapText="1" indent="1"/>
    </xf>
    <xf numFmtId="0" fontId="27" fillId="0" borderId="54" xfId="1130" applyFont="1" applyBorder="1" applyNumberFormat="1">
      <alignment horizontal="left" vertical="center" wrapText="1"/>
    </xf>
    <xf numFmtId="0" fontId="27" fillId="0" borderId="49" xfId="1132" applyFont="1" applyBorder="1" applyNumberFormat="1">
      <alignment horizontal="left" vertical="center" wrapText="1" indent="1"/>
    </xf>
    <xf numFmtId="0" fontId="27" fillId="0" borderId="49" xfId="1134" applyFont="1" applyBorder="1" applyNumberFormat="1">
      <alignment horizontal="left" vertical="center" wrapText="1"/>
    </xf>
    <xf numFmtId="0" fontId="27" fillId="0" borderId="49" xfId="1135" applyFont="1" applyBorder="1" applyNumberFormat="1">
      <alignment horizontal="left" vertical="center" wrapText="1" indent="2"/>
    </xf>
    <xf numFmtId="0" fontId="27" fillId="0" borderId="71" xfId="1138" applyFont="1" applyBorder="1" applyNumberFormat="1">
      <alignment horizontal="left" vertical="center" wrapText="1"/>
    </xf>
    <xf numFmtId="0" fontId="37" fillId="53" borderId="23" xfId="1145" applyFont="1" applyFill="1" applyBorder="1" applyNumberFormat="1">
      <alignment horizontal="left" vertical="center" wrapText="1"/>
    </xf>
    <xf numFmtId="0" fontId="27" fillId="49" borderId="23" xfId="1146" applyFont="1" applyFill="1" applyBorder="1" applyNumberFormat="1">
      <alignment vertical="center"/>
    </xf>
    <xf numFmtId="0" fontId="27" fillId="0" borderId="26" xfId="1150" applyFont="1" applyBorder="1" applyNumberFormat="1">
      <alignment horizontal="right" vertical="center" wrapText="1" indent="1"/>
    </xf>
    <xf numFmtId="0" fontId="37" fillId="41" borderId="25" xfId="1152" applyFont="1" applyFill="1" applyBorder="1" applyNumberFormat="1">
      <alignment vertical="center" wrapText="1"/>
    </xf>
    <xf numFmtId="0" fontId="27" fillId="39" borderId="27" xfId="1154" applyFont="1" applyFill="1" applyBorder="1" applyNumberFormat="1">
      <alignment horizontal="center" vertical="center" wrapText="1"/>
    </xf>
    <xf numFmtId="0" fontId="23" fillId="39" borderId="32" xfId="1155" applyFont="1" applyFill="1" applyBorder="1" applyNumberFormat="1">
      <alignment horizontal="center" vertical="center" wrapText="1"/>
    </xf>
    <xf numFmtId="0" fontId="27" fillId="41" borderId="34" xfId="1157" applyFont="1" applyFill="1" applyBorder="1" applyNumberFormat="1">
      <alignment vertical="center" wrapText="1"/>
    </xf>
    <xf numFmtId="0" fontId="27" fillId="39" borderId="19" xfId="1158" applyFont="1" applyFill="1" applyBorder="1" applyNumberFormat="1">
      <alignment vertical="center" wrapText="1"/>
    </xf>
    <xf numFmtId="0" fontId="31" fillId="39" borderId="19" xfId="1160" applyFont="1" applyFill="1" applyBorder="1" applyNumberFormat="1">
      <alignment horizontal="center" wrapText="1"/>
    </xf>
    <xf numFmtId="0" fontId="27" fillId="0" borderId="15" xfId="1161" applyFont="1" applyBorder="1" applyNumberFormat="1">
      <alignment horizontal="center" vertical="center"/>
    </xf>
    <xf numFmtId="0" fontId="27" fillId="0" borderId="16" xfId="1162" applyFont="1" applyBorder="1" applyNumberFormat="1">
      <alignment horizontal="center" vertical="center"/>
    </xf>
    <xf numFmtId="0" fontId="27" fillId="0" borderId="17" xfId="1163" applyFont="1" applyBorder="1" applyNumberFormat="1">
      <alignment horizontal="center" vertical="center"/>
    </xf>
    <xf numFmtId="0" fontId="27" fillId="0" borderId="13" xfId="1164" applyFont="1" applyBorder="1" applyNumberFormat="1">
      <alignment vertical="center" wrapText="1"/>
    </xf>
    <xf numFmtId="0" fontId="27" fillId="39" borderId="26" xfId="1165" applyFont="1" applyFill="1" applyBorder="1" applyNumberFormat="1">
      <alignment vertical="center" wrapText="1"/>
    </xf>
    <xf numFmtId="0" fontId="44" fillId="0" borderId="19" xfId="1166" applyFont="1" applyBorder="1" applyNumberFormat="1">
      <alignment vertical="center" wrapText="1"/>
    </xf>
    <xf numFmtId="0" fontId="27" fillId="0" borderId="72" xfId="1167" applyFont="1" applyBorder="1" applyNumberFormat="1">
      <alignment horizontal="center" vertical="center"/>
    </xf>
    <xf numFmtId="0" fontId="27" fillId="0" borderId="44" xfId="1168" applyFont="1" applyBorder="1" applyNumberFormat="1">
      <alignment horizontal="center" vertical="center"/>
    </xf>
    <xf numFmtId="0" fontId="27" fillId="0" borderId="13" xfId="1169" applyFont="1" applyBorder="1" applyNumberFormat="1">
      <alignment vertical="center"/>
    </xf>
    <xf numFmtId="0" fontId="27" fillId="0" borderId="27" xfId="1180" applyFont="1" applyBorder="1" applyNumberFormat="1">
      <alignment horizontal="left" vertical="top" wrapText="1"/>
    </xf>
    <xf numFmtId="0" fontId="27" fillId="45" borderId="21" xfId="1184" applyFont="1" applyFill="1" applyBorder="1" applyNumberFormat="1">
      <alignment horizontal="center" vertical="center" wrapText="1"/>
    </xf>
    <xf numFmtId="0" fontId="27" fillId="45" borderId="25" xfId="1185" applyFont="1" applyFill="1" applyBorder="1" applyNumberFormat="1">
      <alignment horizontal="center" vertical="center" wrapText="1"/>
    </xf>
    <xf numFmtId="0" fontId="27" fillId="45" borderId="20" xfId="1186" applyFont="1" applyFill="1" applyBorder="1" applyNumberFormat="1">
      <alignment horizontal="center" vertical="center" wrapText="1"/>
    </xf>
    <xf numFmtId="0" fontId="27" fillId="43" borderId="23" xfId="1200" applyFont="1" applyFill="1" applyBorder="1" applyNumberFormat="1">
      <alignment horizontal="center" vertical="center" wrapText="1"/>
    </xf>
    <xf numFmtId="0" fontId="27" fillId="43" borderId="21" xfId="1201" applyFont="1" applyFill="1" applyBorder="1" applyNumberFormat="1">
      <alignment horizontal="center" vertical="center" wrapText="1"/>
    </xf>
    <xf numFmtId="0" fontId="27" fillId="43" borderId="20" xfId="1202" applyFont="1" applyFill="1" applyBorder="1" applyNumberFormat="1">
      <alignment horizontal="center" vertical="center" wrapText="1"/>
    </xf>
    <xf numFmtId="0" fontId="47" fillId="0" borderId="23" xfId="1206" applyFont="1" applyBorder="1" applyNumberFormat="1">
      <alignment horizontal="center" vertical="center"/>
    </xf>
    <xf numFmtId="0" fontId="27" fillId="0" borderId="32" xfId="1209" applyFont="1" applyBorder="1" applyNumberFormat="1">
      <alignment horizontal="right" vertical="center"/>
    </xf>
    <xf numFmtId="0" fontId="27" fillId="0" borderId="32" xfId="1210" applyFont="1" applyBorder="1" applyNumberFormat="1">
      <alignment horizontal="center" vertical="center"/>
    </xf>
    <xf numFmtId="0" fontId="93" fillId="39" borderId="0" xfId="1213" applyFont="1" applyFill="1" applyNumberFormat="1">
      <alignment horizontal="center" vertical="center" wrapText="1"/>
    </xf>
    <xf numFmtId="0" fontId="28" fillId="39" borderId="0" xfId="1214" applyFont="1" applyFill="1" applyNumberFormat="1"/>
    <xf numFmtId="0" fontId="27" fillId="0" borderId="0" xfId="1217" applyFont="1" applyNumberFormat="1"/>
    <xf numFmtId="0" fontId="50" fillId="39" borderId="0" xfId="1218" applyFont="1" applyFill="1" applyNumberFormat="1">
      <alignment horizontal="center" vertical="center"/>
    </xf>
    <xf numFmtId="0" fontId="27" fillId="39" borderId="32" xfId="1219" applyFont="1" applyFill="1" applyBorder="1" applyNumberFormat="1">
      <alignment horizontal="center" vertical="center"/>
    </xf>
    <xf numFmtId="0" fontId="50" fillId="0" borderId="0" xfId="1221" applyFont="1" applyNumberFormat="1">
      <alignment horizontal="center" vertical="center"/>
    </xf>
    <xf numFmtId="0" fontId="37" fillId="39" borderId="0" xfId="1223" applyFont="1" applyFill="1" applyNumberFormat="1"/>
    <xf numFmtId="0" fontId="94" fillId="39" borderId="0" xfId="1224" applyFont="1" applyFill="1" applyNumberFormat="1"/>
    <xf numFmtId="0" fontId="44" fillId="39" borderId="0" xfId="1225" applyFont="1" applyFill="1" applyNumberFormat="1">
      <alignment horizontal="center" vertical="center" wrapText="1"/>
    </xf>
    <xf numFmtId="0" fontId="23" fillId="39" borderId="32" xfId="1226" applyFont="1" applyFill="1" applyBorder="1" applyNumberFormat="1">
      <alignment horizontal="left" vertical="top" wrapText="1"/>
    </xf>
    <xf numFmtId="0" fontId="55" fillId="39" borderId="0" xfId="1227" applyFont="1" applyFill="1" applyNumberFormat="1">
      <alignment vertical="center" wrapText="1"/>
    </xf>
    <xf numFmtId="0" fontId="44" fillId="39" borderId="23" xfId="1228" applyFont="1" applyFill="1" applyBorder="1" applyNumberFormat="1">
      <alignment horizontal="center" vertical="center"/>
    </xf>
    <xf numFmtId="0" fontId="23" fillId="39" borderId="42" xfId="1229" applyFont="1" applyFill="1" applyBorder="1" applyNumberFormat="1">
      <alignment horizontal="left" vertical="top" wrapText="1"/>
    </xf>
    <xf numFmtId="0" fontId="56" fillId="39" borderId="0" xfId="1230" applyFont="1" applyFill="1" applyNumberFormat="1"/>
    <xf numFmtId="0" fontId="23" fillId="39" borderId="30" xfId="1231" applyFont="1" applyFill="1" applyBorder="1" applyNumberFormat="1">
      <alignment horizontal="left" vertical="top" wrapText="1"/>
    </xf>
    <xf numFmtId="0" fontId="89" fillId="39" borderId="0" xfId="1232" applyFont="1" applyFill="1" applyNumberFormat="1"/>
    <xf numFmtId="0" fontId="27" fillId="39" borderId="23" xfId="1233" applyFont="1" applyFill="1" applyBorder="1" applyNumberFormat="1">
      <alignment horizontal="left" vertical="top" wrapText="1"/>
    </xf>
    <xf numFmtId="0" fontId="27" fillId="39" borderId="23" xfId="1235" applyFont="1" applyFill="1" applyBorder="1" applyNumberFormat="1">
      <alignment vertical="top" wrapText="1"/>
    </xf>
    <xf numFmtId="0" fontId="37" fillId="0" borderId="42" xfId="1237" applyFont="1" applyBorder="1" applyNumberFormat="1">
      <alignment horizontal="left" vertical="center" wrapText="1" indent="1"/>
    </xf>
    <xf numFmtId="0" fontId="95" fillId="0" borderId="0" xfId="1248" applyFont="1" applyNumberFormat="1">
      <alignment vertical="center"/>
    </xf>
    <xf numFmtId="0" fontId="27" fillId="37" borderId="30" xfId="1254" applyFont="1" applyFill="1" applyBorder="1" applyNumberFormat="1">
      <alignment horizontal="left" vertical="center" wrapText="1" indent="1"/>
    </xf>
    <xf numFmtId="0" fontId="27" fillId="0" borderId="34" xfId="1256" applyFont="1" applyBorder="1" applyNumberFormat="1">
      <alignment horizontal="left" vertical="top" wrapText="1"/>
    </xf>
    <xf numFmtId="0" fontId="27" fillId="39" borderId="42" xfId="1260" applyFont="1" applyFill="1" applyBorder="1" applyNumberFormat="1">
      <alignment vertical="center" wrapText="1"/>
    </xf>
    <xf numFmtId="0" fontId="44" fillId="0" borderId="45" xfId="1261" applyFont="1" applyBorder="1" applyNumberFormat="1">
      <alignment horizontal="center" vertical="center" wrapText="1"/>
    </xf>
    <xf numFmtId="0" fontId="27" fillId="39" borderId="28" xfId="1262" applyFont="1" applyFill="1" applyBorder="1" applyNumberFormat="1">
      <alignment vertical="center" wrapText="1"/>
    </xf>
    <xf numFmtId="0" fontId="27" fillId="0" borderId="25" xfId="1263" applyFont="1" applyBorder="1" applyNumberFormat="1">
      <alignment horizontal="left" vertical="center" wrapText="1"/>
    </xf>
    <xf numFmtId="0" fontId="46" fillId="0" borderId="0" xfId="1266" applyFont="1" applyNumberFormat="1">
      <alignment horizontal="center" vertical="center" wrapText="1"/>
    </xf>
    <xf numFmtId="0" fontId="27" fillId="37" borderId="34" xfId="1268" applyFont="1" applyFill="1" applyBorder="1" applyNumberFormat="1">
      <alignment horizontal="left" vertical="center" wrapText="1"/>
    </xf>
    <xf numFmtId="0" fontId="23" fillId="0" borderId="0" xfId="1289" applyFont="1" applyNumberFormat="1"/>
    <xf numFmtId="0" fontId="23" fillId="0" borderId="24" xfId="1291" applyFont="1" applyBorder="1" applyNumberFormat="1">
      <alignment vertical="top" wrapText="1"/>
    </xf>
    <xf numFmtId="0" fontId="21" fillId="0" borderId="74" xfId="1292" applyFont="1" applyBorder="1" applyNumberFormat="1">
      <alignment vertical="top" wrapText="1"/>
    </xf>
    <xf numFmtId="0" fontId="23" fillId="0" borderId="23" xfId="1293" applyFont="1" applyBorder="1" applyNumberFormat="1">
      <alignment vertical="top" wrapText="1"/>
    </xf>
    <xf numFmtId="0" fontId="31" fillId="0" borderId="24" xfId="1295" applyFont="1" applyBorder="1" applyNumberFormat="1">
      <alignment vertical="center" wrapText="1"/>
    </xf>
    <xf numFmtId="0" fontId="21" fillId="0" borderId="0" xfId="1296" applyFont="1" applyNumberFormat="1">
      <alignment vertical="top" wrapText="1"/>
    </xf>
    <xf numFmtId="0" fontId="27" fillId="0" borderId="24" xfId="1297" applyFont="1" applyBorder="1" applyNumberFormat="1">
      <alignment vertical="center"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0" fillId="0" borderId="0" xfId="28" applyFont="1" applyNumberFormat="1">
      <alignment vertical="top"/>
    </xf>
    <xf numFmtId="41" fontId="0" fillId="0" borderId="0" xfId="29" applyFont="1" applyNumberFormat="1">
      <alignment vertical="top"/>
    </xf>
    <xf numFmtId="44" fontId="0" fillId="0" borderId="0" xfId="30" applyFont="1" applyNumberFormat="1">
      <alignment vertical="top"/>
    </xf>
    <xf numFmtId="42" fontId="0"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0" fillId="32" borderId="7" xfId="41" applyFont="1" applyFill="1" applyBorder="1" applyNumberFormat="1">
      <alignment vertical="top"/>
    </xf>
    <xf numFmtId="0" fontId="15" fillId="27" borderId="8" xfId="42" applyFont="1" applyFill="1" applyBorder="1" applyNumberFormat="1">
      <alignment vertical="top"/>
    </xf>
    <xf numFmtId="9" fontId="0"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19" fillId="0" borderId="0" xfId="47" applyFont="1" applyNumberFormat="1">
      <alignment wrapText="1"/>
    </xf>
    <xf numFmtId="0" fontId="20" fillId="0" borderId="0" xfId="48" applyFont="1" applyNumberFormat="1">
      <alignment vertical="center" wrapText="1"/>
    </xf>
    <xf numFmtId="0" fontId="20" fillId="0" borderId="0" xfId="49" applyFont="1" applyNumberFormat="1">
      <alignment vertical="center"/>
    </xf>
    <xf numFmtId="0" fontId="21" fillId="33" borderId="10" xfId="50" applyFont="1" applyFill="1" applyBorder="1" applyNumberFormat="1">
      <alignment horizontal="center" vertical="center" wrapText="1"/>
    </xf>
    <xf numFmtId="0" fontId="21" fillId="33" borderId="11" xfId="51" applyFont="1" applyFill="1" applyBorder="1" applyNumberFormat="1">
      <alignment horizontal="center" vertical="center" wrapText="1"/>
    </xf>
    <xf numFmtId="0" fontId="21" fillId="33" borderId="12" xfId="52" applyFont="1" applyFill="1" applyBorder="1" applyNumberFormat="1">
      <alignment horizontal="center" vertical="center" wrapText="1"/>
    </xf>
    <xf numFmtId="0" fontId="21" fillId="34" borderId="13" xfId="53" applyFont="1" applyFill="1" applyBorder="1" applyNumberFormat="1">
      <alignment horizontal="right" vertical="center" wrapText="1" indent="1"/>
    </xf>
    <xf numFmtId="0" fontId="21" fillId="34" borderId="14" xfId="54" applyFont="1" applyFill="1" applyBorder="1" applyNumberFormat="1">
      <alignment horizontal="right" vertical="center" wrapText="1" indent="1"/>
    </xf>
    <xf numFmtId="0" fontId="22" fillId="0" borderId="13" xfId="55" applyFont="1" applyBorder="1" applyNumberFormat="1">
      <alignment wrapText="1"/>
    </xf>
    <xf numFmtId="0" fontId="23" fillId="35" borderId="15" xfId="56" applyFont="1" applyFill="1" applyBorder="1" applyNumberFormat="1">
      <alignment horizontal="center" vertical="center" wrapText="1"/>
    </xf>
    <xf numFmtId="0" fontId="24" fillId="0" borderId="13" xfId="57" applyFont="1" applyBorder="1" applyNumberFormat="1">
      <alignment vertical="center" wrapText="1"/>
    </xf>
    <xf numFmtId="0" fontId="23" fillId="36" borderId="15" xfId="58" applyFont="1" applyFill="1" applyBorder="1" applyNumberFormat="1">
      <alignment horizontal="center" vertical="center" wrapText="1"/>
    </xf>
    <xf numFmtId="0" fontId="24" fillId="0" borderId="13" xfId="59" applyFont="1" applyBorder="1" applyNumberFormat="1">
      <alignment horizontal="left" vertical="center" wrapText="1"/>
    </xf>
    <xf numFmtId="0" fontId="23" fillId="37" borderId="15" xfId="60" applyFont="1" applyFill="1" applyBorder="1" applyNumberFormat="1">
      <alignment horizontal="center" vertical="center" wrapText="1"/>
    </xf>
    <xf numFmtId="0" fontId="23" fillId="38" borderId="15" xfId="61" applyFont="1" applyFill="1" applyBorder="1" applyNumberFormat="1">
      <alignment horizontal="center" vertical="center" wrapText="1"/>
    </xf>
    <xf numFmtId="0" fontId="21" fillId="34" borderId="0" xfId="62" applyFont="1" applyFill="1" applyNumberFormat="1">
      <alignment horizontal="right" vertical="center" wrapText="1" indent="1"/>
    </xf>
    <xf numFmtId="0" fontId="25" fillId="0" borderId="13" xfId="63" applyFont="1" applyBorder="1" applyNumberFormat="1">
      <alignment horizontal="left" vertical="center" wrapText="1"/>
    </xf>
    <xf numFmtId="0" fontId="25" fillId="0" borderId="16" xfId="64" applyFont="1" applyBorder="1" applyNumberFormat="1">
      <alignment horizontal="left" vertical="center" wrapText="1"/>
    </xf>
    <xf numFmtId="0" fontId="21" fillId="34" borderId="15" xfId="65" applyFont="1" applyFill="1" applyBorder="1" applyNumberFormat="1">
      <alignment horizontal="right" vertical="center" wrapText="1" indent="1"/>
    </xf>
    <xf numFmtId="0" fontId="21" fillId="34" borderId="17" xfId="66" applyFont="1" applyFill="1" applyBorder="1" applyNumberFormat="1">
      <alignment horizontal="right" vertical="center" wrapText="1" indent="1"/>
    </xf>
    <xf numFmtId="0" fontId="24" fillId="0" borderId="13" xfId="67" applyFont="1" applyBorder="1" applyNumberFormat="1">
      <alignment wrapText="1"/>
    </xf>
    <xf numFmtId="0" fontId="24" fillId="0" borderId="0" xfId="68" applyFont="1" applyNumberFormat="1">
      <alignment vertical="center" wrapText="1"/>
    </xf>
    <xf numFmtId="0" fontId="24" fillId="0" borderId="0" xfId="69" applyFont="1" applyNumberFormat="1">
      <alignment vertical="top" wrapText="1"/>
    </xf>
    <xf numFmtId="0" fontId="21" fillId="34" borderId="18" xfId="70" applyFont="1" applyFill="1" applyBorder="1" applyNumberFormat="1">
      <alignment horizontal="right" vertical="center" wrapText="1" indent="1"/>
    </xf>
    <xf numFmtId="0" fontId="21" fillId="34" borderId="19" xfId="71" applyFont="1" applyFill="1" applyBorder="1" applyNumberFormat="1">
      <alignment horizontal="right" vertical="center" wrapText="1" indent="1"/>
    </xf>
    <xf numFmtId="0" fontId="22" fillId="0" borderId="18" xfId="72" applyFont="1" applyBorder="1" applyNumberFormat="1">
      <alignment wrapText="1"/>
    </xf>
    <xf numFmtId="0" fontId="22" fillId="0" borderId="19" xfId="73" applyFont="1" applyBorder="1" applyNumberFormat="1">
      <alignment wrapText="1"/>
    </xf>
    <xf numFmtId="0" fontId="22" fillId="0" borderId="19" xfId="74" applyFont="1" applyBorder="1" applyNumberFormat="1">
      <alignment vertical="center" wrapText="1"/>
    </xf>
    <xf numFmtId="0" fontId="26" fillId="0" borderId="0" xfId="75" applyFont="1" applyNumberFormat="1">
      <alignment vertical="center" wrapText="1"/>
    </xf>
    <xf numFmtId="0" fontId="27" fillId="0" borderId="0" xfId="76" applyFont="1" applyNumberFormat="1">
      <alignment horizontal="left" vertical="top" indent="1"/>
    </xf>
    <xf numFmtId="0" fontId="28" fillId="0" borderId="0" xfId="77" applyFont="1" applyNumberFormat="1">
      <alignment vertical="center" wrapText="1"/>
    </xf>
    <xf numFmtId="0" fontId="23" fillId="0" borderId="0" xfId="78" applyFont="1" applyNumberFormat="1">
      <alignment horizontal="left" vertical="center" indent="1"/>
    </xf>
    <xf numFmtId="0" fontId="27" fillId="0" borderId="0" xfId="79" applyFont="1" applyNumberFormat="1">
      <alignment vertical="center" wrapText="1"/>
    </xf>
    <xf numFmtId="0" fontId="29" fillId="39" borderId="0" xfId="80" applyFont="1" applyFill="1" applyNumberFormat="1">
      <alignment vertical="center" wrapText="1"/>
    </xf>
    <xf numFmtId="0" fontId="29" fillId="0" borderId="0" xfId="81" applyFont="1" applyNumberFormat="1">
      <alignment vertical="center" wrapText="1"/>
    </xf>
    <xf numFmtId="0" fontId="30" fillId="39" borderId="0" xfId="82" applyFont="1" applyFill="1" applyNumberFormat="1">
      <alignment vertical="center" wrapText="1"/>
    </xf>
    <xf numFmtId="0" fontId="27" fillId="0" borderId="20" xfId="83" applyFont="1" applyBorder="1" applyNumberFormat="1">
      <alignment horizontal="center" vertical="center" wrapText="1"/>
    </xf>
    <xf numFmtId="0" fontId="27" fillId="0" borderId="21" xfId="84" applyFont="1" applyBorder="1" applyNumberFormat="1">
      <alignment horizontal="center" vertical="center" wrapText="1"/>
    </xf>
    <xf numFmtId="0" fontId="31" fillId="39" borderId="0" xfId="85" applyFont="1" applyFill="1" applyNumberFormat="1">
      <alignment vertical="center" wrapText="1"/>
    </xf>
    <xf numFmtId="0" fontId="29" fillId="39" borderId="0" xfId="86" applyFont="1" applyFill="1" applyNumberFormat="1">
      <alignment horizontal="right" vertical="center" wrapText="1" indent="1"/>
    </xf>
    <xf numFmtId="0" fontId="32" fillId="39" borderId="0" xfId="87" applyFont="1" applyFill="1" applyNumberFormat="1">
      <alignment horizontal="center" vertical="center" wrapText="1"/>
    </xf>
    <xf numFmtId="0" fontId="27" fillId="39" borderId="22" xfId="88" applyFont="1" applyFill="1" applyBorder="1" applyNumberFormat="1">
      <alignment horizontal="right" vertical="center" wrapText="1" indent="1"/>
    </xf>
    <xf numFmtId="0" fontId="23" fillId="37" borderId="23" xfId="89" applyFont="1" applyFill="1" applyBorder="1" applyNumberFormat="1">
      <alignment horizontal="left" vertical="center" wrapText="1" indent="1"/>
    </xf>
    <xf numFmtId="14" fontId="33" fillId="39" borderId="0" xfId="90" applyFont="1" applyFill="1" applyNumberFormat="1">
      <alignment horizontal="left" vertical="center" wrapText="1"/>
    </xf>
    <xf numFmtId="0" fontId="34" fillId="39" borderId="0" xfId="91" applyFont="1" applyFill="1" applyNumberFormat="1">
      <alignment horizontal="center" vertical="center" wrapText="1"/>
    </xf>
    <xf numFmtId="0" fontId="29" fillId="39" borderId="0" xfId="92" applyFont="1" applyFill="1" applyNumberFormat="1">
      <alignment horizontal="left" vertical="center" wrapText="1" indent="1"/>
    </xf>
    <xf numFmtId="0" fontId="27" fillId="39" borderId="0" xfId="93" applyFont="1" applyFill="1" applyNumberFormat="1">
      <alignment horizontal="center" vertical="center" wrapText="1"/>
    </xf>
    <xf numFmtId="0" fontId="27" fillId="38" borderId="23" xfId="94" applyFont="1" applyFill="1" applyBorder="1" applyNumberFormat="1">
      <alignment horizontal="left" vertical="top" wrapText="1" indent="1"/>
      <protection locked="0"/>
    </xf>
    <xf numFmtId="0" fontId="27" fillId="0" borderId="0" xfId="95" applyFont="1" applyNumberFormat="1">
      <alignment horizontal="left" vertical="center" wrapText="1"/>
    </xf>
    <xf numFmtId="49" fontId="27" fillId="40" borderId="23" xfId="96" applyFont="1" applyFill="1" applyBorder="1" applyNumberFormat="1">
      <alignment horizontal="left" vertical="center" wrapText="1" indent="1"/>
    </xf>
    <xf numFmtId="14" fontId="35" fillId="0" borderId="23" xfId="97" applyFont="1" applyBorder="1" applyNumberFormat="1">
      <alignment horizontal="center" vertical="center" wrapText="1"/>
    </xf>
    <xf numFmtId="438" fontId="23" fillId="38" borderId="23" xfId="98" applyFont="1" applyFill="1" applyBorder="1" applyNumberFormat="1">
      <alignment horizontal="left" vertical="center" wrapText="1" indent="1"/>
      <protection locked="0"/>
    </xf>
    <xf numFmtId="0" fontId="36" fillId="0" borderId="0" xfId="99" applyFont="1" applyNumberFormat="1">
      <alignment horizontal="left" vertical="center" indent="1"/>
    </xf>
    <xf numFmtId="0" fontId="37" fillId="0" borderId="0" xfId="100" applyFont="1" applyNumberFormat="1">
      <alignment vertical="center" wrapText="1"/>
    </xf>
    <xf numFmtId="0" fontId="27" fillId="39" borderId="0" xfId="101" applyFont="1" applyFill="1" applyNumberFormat="1">
      <alignment vertical="center" wrapText="1"/>
    </xf>
    <xf numFmtId="14" fontId="35" fillId="0" borderId="23" xfId="102" applyFont="1" applyBorder="1" applyNumberFormat="1">
      <alignment horizontal="left" vertical="center" wrapText="1"/>
    </xf>
    <xf numFmtId="49" fontId="27" fillId="39" borderId="22" xfId="103" applyFont="1" applyFill="1" applyBorder="1" applyNumberFormat="1">
      <alignment horizontal="right" vertical="center" wrapText="1" indent="1"/>
    </xf>
    <xf numFmtId="49" fontId="37" fillId="0" borderId="0" xfId="104" applyFont="1" applyNumberFormat="1">
      <alignment vertical="center" wrapText="1"/>
    </xf>
    <xf numFmtId="0" fontId="23" fillId="38" borderId="23" xfId="105" applyFont="1" applyFill="1" applyBorder="1" applyNumberFormat="1">
      <alignment horizontal="left" vertical="center" wrapText="1" indent="1"/>
      <protection locked="0"/>
    </xf>
    <xf numFmtId="49" fontId="27" fillId="38" borderId="23" xfId="106" applyFont="1" applyFill="1" applyBorder="1" applyNumberFormat="1">
      <alignment horizontal="left" vertical="center" wrapText="1" indent="1"/>
      <protection locked="0"/>
    </xf>
    <xf numFmtId="438" fontId="23" fillId="0" borderId="23" xfId="107" applyFont="1" applyBorder="1" applyNumberFormat="1">
      <alignment horizontal="left" vertical="center" wrapText="1" indent="1"/>
    </xf>
    <xf numFmtId="0" fontId="23" fillId="39" borderId="0" xfId="108" applyFont="1" applyFill="1" applyNumberFormat="1">
      <alignment horizontal="right" vertical="center" wrapText="1" indent="1"/>
    </xf>
    <xf numFmtId="0" fontId="38" fillId="0" borderId="0" xfId="109" applyFont="1" applyNumberFormat="1">
      <alignment horizontal="left" vertical="center" wrapText="1"/>
    </xf>
    <xf numFmtId="0" fontId="27" fillId="39" borderId="0" xfId="110" applyFont="1" applyFill="1" applyNumberFormat="1">
      <alignment horizontal="right" vertical="center" wrapText="1" indent="1"/>
    </xf>
    <xf numFmtId="0" fontId="27" fillId="0" borderId="0" xfId="111" applyFont="1" applyNumberFormat="1">
      <alignment horizontal="center" vertical="center" wrapText="1"/>
    </xf>
    <xf numFmtId="0" fontId="38" fillId="0" borderId="0" xfId="112" applyFont="1" applyNumberFormat="1">
      <alignment vertical="center" wrapText="1"/>
    </xf>
    <xf numFmtId="0" fontId="23" fillId="39" borderId="0" xfId="113" applyFont="1" applyFill="1" applyNumberFormat="1">
      <alignment horizontal="left" vertical="center" wrapText="1" indent="1"/>
    </xf>
    <xf numFmtId="49" fontId="27" fillId="0" borderId="23" xfId="114" applyFont="1" applyBorder="1" applyNumberFormat="1">
      <alignment horizontal="left" vertical="center" wrapText="1" indent="1"/>
    </xf>
    <xf numFmtId="0" fontId="39" fillId="39" borderId="0" xfId="115" applyFont="1" applyFill="1" applyNumberFormat="1">
      <alignment horizontal="center" vertical="center" wrapText="1"/>
    </xf>
    <xf numFmtId="49" fontId="27" fillId="37" borderId="23" xfId="116" applyFont="1" applyFill="1" applyBorder="1" applyNumberFormat="1">
      <alignment horizontal="left" vertical="center" wrapText="1" indent="1"/>
    </xf>
    <xf numFmtId="14" fontId="27" fillId="39" borderId="0" xfId="117" applyFont="1" applyFill="1" applyNumberFormat="1">
      <alignment horizontal="center" vertical="center" wrapText="1"/>
    </xf>
    <xf numFmtId="0" fontId="23" fillId="39" borderId="22" xfId="118" applyFont="1" applyFill="1" applyBorder="1" applyNumberFormat="1">
      <alignment horizontal="right" vertical="center" wrapText="1" indent="1"/>
    </xf>
    <xf numFmtId="14" fontId="27" fillId="39" borderId="0" xfId="119" applyFont="1" applyFill="1" applyNumberFormat="1">
      <alignment horizontal="left" vertical="center" wrapText="1"/>
    </xf>
    <xf numFmtId="0" fontId="27" fillId="38" borderId="23" xfId="120" applyFont="1" applyFill="1" applyBorder="1" applyNumberFormat="1">
      <alignment horizontal="left" vertical="center" wrapText="1" indent="1"/>
      <protection locked="0"/>
    </xf>
    <xf numFmtId="0" fontId="40" fillId="39" borderId="0" xfId="121" applyFont="1" applyFill="1" applyNumberFormat="1">
      <alignment horizontal="right" vertical="center" wrapText="1" indent="1"/>
    </xf>
    <xf numFmtId="0" fontId="40" fillId="39" borderId="0" xfId="122" applyFont="1" applyFill="1" applyNumberFormat="1">
      <alignment horizontal="left" vertical="center" wrapText="1" indent="1"/>
    </xf>
    <xf numFmtId="49" fontId="41" fillId="0" borderId="23" xfId="123" applyFont="1" applyBorder="1" applyNumberFormat="1">
      <alignment horizontal="left" vertical="center" wrapText="1" indent="1"/>
    </xf>
    <xf numFmtId="0" fontId="27" fillId="40" borderId="23" xfId="124" applyFont="1" applyFill="1" applyBorder="1" applyNumberFormat="1">
      <alignment horizontal="left" vertical="center" wrapText="1" indent="1"/>
    </xf>
    <xf numFmtId="438" fontId="23" fillId="38" borderId="24" xfId="125" applyFont="1" applyFill="1" applyBorder="1" applyNumberFormat="1">
      <alignment horizontal="left" vertical="center" wrapText="1" indent="1"/>
      <protection locked="0"/>
    </xf>
    <xf numFmtId="0" fontId="27" fillId="38" borderId="23" xfId="126" applyFont="1" applyFill="1" applyBorder="1" applyNumberFormat="1">
      <alignment horizontal="left" vertical="center" wrapText="1" indent="1"/>
    </xf>
    <xf numFmtId="49" fontId="30" fillId="39" borderId="0" xfId="127" applyFont="1" applyFill="1" applyNumberFormat="1">
      <alignment horizontal="center" vertical="center" wrapText="1"/>
    </xf>
    <xf numFmtId="0" fontId="27" fillId="0" borderId="0" xfId="128" applyFont="1" applyNumberFormat="1">
      <alignment horizontal="left" vertical="center" wrapText="1" indent="4"/>
    </xf>
    <xf numFmtId="49" fontId="42" fillId="38" borderId="23" xfId="129" applyFont="1" applyFill="1" applyBorder="1" applyNumberFormat="1">
      <alignment horizontal="left" vertical="center" wrapText="1" indent="1"/>
      <protection locked="0"/>
    </xf>
    <xf numFmtId="49" fontId="27" fillId="39" borderId="0" xfId="130" applyFont="1" applyFill="1" applyNumberFormat="1">
      <alignment horizontal="right" vertical="center" wrapText="1" indent="1"/>
    </xf>
    <xf numFmtId="49" fontId="37" fillId="0" borderId="0" xfId="131" applyFont="1" applyNumberFormat="1">
      <alignment horizontal="center" vertical="center" wrapText="1"/>
    </xf>
    <xf numFmtId="49" fontId="23" fillId="39" borderId="0" xfId="132" applyFont="1" applyFill="1" applyNumberFormat="1">
      <alignment horizontal="right" vertical="center" wrapText="1" indent="1"/>
    </xf>
    <xf numFmtId="0" fontId="33" fillId="0" borderId="0" xfId="133" applyFont="1" applyNumberFormat="1">
      <alignment horizontal="left" vertical="center" wrapText="1"/>
    </xf>
    <xf numFmtId="0" fontId="28" fillId="0" borderId="0" xfId="134" applyFont="1" applyNumberFormat="1">
      <alignment horizontal="left" vertical="center" wrapText="1"/>
    </xf>
    <xf numFmtId="0" fontId="43" fillId="0" borderId="0" xfId="135" applyFont="1" applyNumberFormat="1">
      <alignment vertical="center" wrapText="1"/>
    </xf>
    <xf numFmtId="0" fontId="28" fillId="0" borderId="0" xfId="136" applyFont="1" applyNumberFormat="1">
      <alignment horizontal="center" vertical="center" wrapText="1"/>
    </xf>
    <xf numFmtId="0" fontId="44" fillId="0" borderId="0" xfId="137" applyFont="1" applyNumberFormat="1">
      <alignment horizontal="left" vertical="center" indent="1"/>
    </xf>
    <xf numFmtId="0" fontId="44" fillId="0" borderId="0" xfId="138" applyFont="1" applyNumberFormat="1">
      <alignment horizontal="center" vertical="center" wrapText="1"/>
    </xf>
    <xf numFmtId="0" fontId="44" fillId="0" borderId="0" xfId="139" applyFont="1" applyNumberFormat="1">
      <alignment horizontal="left" vertical="center" wrapText="1" indent="1"/>
    </xf>
    <xf numFmtId="0" fontId="44" fillId="0" borderId="0" xfId="140" applyFont="1" applyNumberFormat="1">
      <alignment vertical="center" wrapText="1"/>
    </xf>
    <xf numFmtId="0" fontId="45" fillId="0" borderId="0" xfId="141" applyFont="1" applyNumberFormat="1">
      <alignment vertical="center" wrapText="1"/>
    </xf>
    <xf numFmtId="0" fontId="46" fillId="0" borderId="0" xfId="142" applyFont="1" applyNumberFormat="1">
      <alignment vertical="center" wrapText="1"/>
    </xf>
    <xf numFmtId="0" fontId="27" fillId="0" borderId="25" xfId="143" applyFont="1" applyBorder="1" applyNumberFormat="1">
      <alignment horizontal="left" vertical="center" wrapText="1" indent="1"/>
    </xf>
    <xf numFmtId="0" fontId="27" fillId="0" borderId="25" xfId="144" applyFont="1" applyBorder="1" applyNumberFormat="1">
      <alignment horizontal="center" vertical="center" wrapText="1"/>
    </xf>
    <xf numFmtId="4" fontId="27" fillId="0" borderId="23" xfId="145" applyFont="1" applyBorder="1" applyNumberFormat="1">
      <alignment horizontal="center" vertical="center" wrapText="1"/>
    </xf>
    <xf numFmtId="435" fontId="27" fillId="0" borderId="21" xfId="146" applyFont="1" applyBorder="1" applyNumberFormat="1">
      <alignment horizontal="center" vertical="center" wrapText="1"/>
    </xf>
    <xf numFmtId="435" fontId="27" fillId="0" borderId="23" xfId="147" applyFont="1" applyBorder="1" applyNumberFormat="1">
      <alignment horizontal="center" vertical="center" wrapText="1"/>
    </xf>
    <xf numFmtId="49" fontId="47" fillId="0" borderId="25" xfId="148" applyFont="1" applyBorder="1" applyNumberFormat="1">
      <alignment horizontal="center" vertical="center" wrapText="1"/>
    </xf>
    <xf numFmtId="49" fontId="27" fillId="41" borderId="26" xfId="149" applyFont="1" applyFill="1" applyBorder="1" applyNumberFormat="1">
      <alignment horizontal="center" vertical="center" wrapText="1"/>
    </xf>
    <xf numFmtId="49" fontId="37" fillId="41" borderId="26" xfId="150" applyFont="1" applyFill="1" applyBorder="1" applyNumberFormat="1">
      <alignment horizontal="left" vertical="center" wrapText="1"/>
    </xf>
    <xf numFmtId="49" fontId="37" fillId="41" borderId="27" xfId="151" applyFont="1" applyFill="1" applyBorder="1" applyNumberFormat="1">
      <alignment horizontal="left" vertical="center" wrapText="1"/>
    </xf>
    <xf numFmtId="0" fontId="44" fillId="0" borderId="28" xfId="152" applyFont="1" applyBorder="1" applyNumberFormat="1">
      <alignment vertical="center"/>
    </xf>
    <xf numFmtId="0" fontId="44" fillId="0" borderId="0" xfId="153" applyFont="1" applyNumberFormat="1">
      <alignment vertical="center"/>
    </xf>
    <xf numFmtId="0" fontId="27" fillId="0" borderId="23" xfId="154" applyFont="1" applyBorder="1" applyNumberFormat="1">
      <alignment horizontal="center" vertical="center" wrapText="1"/>
    </xf>
    <xf numFmtId="0" fontId="44" fillId="0" borderId="23" xfId="155" applyFont="1" applyBorder="1" applyNumberFormat="1">
      <alignment horizontal="center" vertical="center" wrapText="1"/>
    </xf>
    <xf numFmtId="49" fontId="27" fillId="38" borderId="23" xfId="156" applyFont="1" applyFill="1" applyBorder="1" applyNumberFormat="1">
      <alignment vertical="center" wrapText="1"/>
      <protection locked="0"/>
    </xf>
    <xf numFmtId="49" fontId="37" fillId="0" borderId="23" xfId="157" applyFont="1" applyBorder="1" applyNumberFormat="1">
      <alignment horizontal="left" vertical="center" wrapText="1"/>
    </xf>
    <xf numFmtId="0" fontId="47" fillId="0" borderId="29" xfId="158" applyFont="1" applyBorder="1" applyNumberFormat="1">
      <alignment vertical="top" wrapText="1"/>
    </xf>
    <xf numFmtId="0" fontId="27" fillId="0" borderId="30" xfId="159" applyFont="1" applyBorder="1" applyNumberFormat="1">
      <alignment horizontal="center" vertical="center" wrapText="1"/>
    </xf>
    <xf numFmtId="0" fontId="44" fillId="0" borderId="30" xfId="160" applyFont="1" applyBorder="1" applyNumberFormat="1">
      <alignment horizontal="center" vertical="center" wrapText="1"/>
    </xf>
    <xf numFmtId="14" fontId="27" fillId="40" borderId="30" xfId="161" applyFont="1" applyFill="1" applyBorder="1" applyNumberFormat="1">
      <alignment horizontal="left" vertical="center" wrapText="1" indent="1"/>
    </xf>
    <xf numFmtId="49" fontId="27" fillId="37" borderId="30" xfId="162" applyFont="1" applyFill="1" applyBorder="1" applyNumberFormat="1">
      <alignment horizontal="center" vertical="center" wrapText="1"/>
    </xf>
    <xf numFmtId="49" fontId="23" fillId="0" borderId="0" xfId="163" applyFont="1" applyNumberFormat="1">
      <alignment vertical="top"/>
    </xf>
    <xf numFmtId="49" fontId="31" fillId="41" borderId="21" xfId="164" applyFont="1" applyFill="1" applyBorder="1" applyNumberFormat="1">
      <alignment horizontal="right" vertical="center" wrapText="1"/>
    </xf>
    <xf numFmtId="49" fontId="31" fillId="41" borderId="25" xfId="165" applyFont="1" applyFill="1" applyBorder="1" applyNumberFormat="1">
      <alignment horizontal="right" vertical="center" wrapText="1"/>
    </xf>
    <xf numFmtId="49" fontId="48" fillId="41" borderId="25" xfId="166" applyFont="1" applyFill="1" applyBorder="1" applyNumberFormat="1">
      <alignment horizontal="left" vertical="center" indent="1"/>
    </xf>
    <xf numFmtId="49" fontId="23" fillId="41" borderId="25" xfId="167" applyFont="1" applyFill="1" applyBorder="1" applyNumberFormat="1">
      <alignment horizontal="right" vertical="center" wrapText="1"/>
    </xf>
    <xf numFmtId="49" fontId="23" fillId="41" borderId="20" xfId="168" applyFont="1" applyFill="1" applyBorder="1" applyNumberFormat="1">
      <alignment horizontal="right" vertical="center" wrapText="1"/>
    </xf>
    <xf numFmtId="49" fontId="27" fillId="41" borderId="21" xfId="169" applyFont="1" applyFill="1" applyBorder="1" applyNumberFormat="1">
      <alignment horizontal="right" vertical="center" wrapText="1"/>
    </xf>
    <xf numFmtId="49" fontId="27" fillId="41" borderId="25" xfId="170" applyFont="1" applyFill="1" applyBorder="1" applyNumberFormat="1">
      <alignment horizontal="right" vertical="center" wrapText="1"/>
    </xf>
    <xf numFmtId="49" fontId="48" fillId="41" borderId="25" xfId="171" applyFont="1" applyFill="1" applyBorder="1" applyNumberFormat="1">
      <alignment horizontal="left" vertical="center"/>
    </xf>
    <xf numFmtId="49" fontId="27" fillId="41" borderId="20" xfId="172" applyFont="1" applyFill="1" applyBorder="1" applyNumberFormat="1">
      <alignment horizontal="right" vertical="center" wrapText="1"/>
    </xf>
    <xf numFmtId="0" fontId="27" fillId="0" borderId="31" xfId="173" applyFont="1" applyBorder="1" applyNumberFormat="1">
      <alignment vertical="center" wrapText="1"/>
    </xf>
    <xf numFmtId="0" fontId="49" fillId="0" borderId="0" xfId="174" applyFont="1" applyNumberFormat="1">
      <alignment vertical="center" wrapText="1"/>
    </xf>
    <xf numFmtId="0" fontId="50" fillId="0" borderId="0" xfId="175" applyFont="1" applyNumberFormat="1">
      <alignment horizontal="center" vertical="center" wrapText="1"/>
    </xf>
    <xf numFmtId="0" fontId="51" fillId="0" borderId="0" xfId="176" applyFont="1" applyNumberFormat="1">
      <alignment vertical="center"/>
    </xf>
    <xf numFmtId="0" fontId="23" fillId="0" borderId="0" xfId="177" applyFont="1" applyNumberFormat="1">
      <alignment vertical="center"/>
    </xf>
    <xf numFmtId="0" fontId="27" fillId="0" borderId="27" xfId="178" applyFont="1" applyBorder="1" applyNumberFormat="1">
      <alignment horizontal="left" vertical="center" wrapText="1" indent="1"/>
    </xf>
    <xf numFmtId="0" fontId="27" fillId="0" borderId="32" xfId="179" applyFont="1" applyBorder="1" applyNumberFormat="1">
      <alignment horizontal="left" vertical="center" wrapText="1" indent="1"/>
    </xf>
    <xf numFmtId="0" fontId="27" fillId="0" borderId="33" xfId="180" applyFont="1" applyBorder="1" applyNumberFormat="1">
      <alignment horizontal="left" vertical="center" wrapText="1" indent="1"/>
    </xf>
    <xf numFmtId="0" fontId="27" fillId="0" borderId="34" xfId="181" applyFont="1" applyBorder="1" applyNumberFormat="1">
      <alignment horizontal="left" vertical="center" indent="1"/>
    </xf>
    <xf numFmtId="0" fontId="27" fillId="0" borderId="30" xfId="182" applyFont="1" applyBorder="1" applyNumberFormat="1">
      <alignment horizontal="left" vertical="center" indent="1"/>
    </xf>
    <xf numFmtId="0" fontId="27" fillId="0" borderId="35" xfId="183" applyFont="1" applyBorder="1" applyNumberFormat="1">
      <alignment horizontal="left" vertical="center" indent="1"/>
    </xf>
    <xf numFmtId="0" fontId="52" fillId="0" borderId="0" xfId="184" applyFont="1" applyNumberFormat="1">
      <alignment vertical="center"/>
    </xf>
    <xf numFmtId="0" fontId="23" fillId="0" borderId="0" xfId="185" applyFont="1" applyNumberFormat="1">
      <alignment horizontal="left" vertical="center" wrapText="1" indent="2"/>
    </xf>
    <xf numFmtId="0" fontId="27" fillId="42" borderId="0" xfId="186" applyFont="1" applyFill="1" applyNumberFormat="1">
      <alignment horizontal="center" vertical="center" wrapText="1"/>
    </xf>
    <xf numFmtId="0" fontId="53" fillId="0" borderId="33" xfId="187" applyFont="1" applyBorder="1" applyNumberFormat="1">
      <alignment horizontal="center" vertical="center" wrapText="1"/>
    </xf>
    <xf numFmtId="0" fontId="53" fillId="0" borderId="26" xfId="188" applyFont="1" applyBorder="1" applyNumberFormat="1">
      <alignment horizontal="center" vertical="center" wrapText="1"/>
    </xf>
    <xf numFmtId="0" fontId="53" fillId="0" borderId="23" xfId="189" applyFont="1" applyBorder="1" applyNumberFormat="1">
      <alignment horizontal="center" vertical="center" wrapText="1"/>
    </xf>
    <xf numFmtId="0" fontId="27" fillId="0" borderId="36" xfId="190" applyFont="1" applyBorder="1" applyNumberFormat="1">
      <alignment horizontal="center" vertical="center" wrapText="1"/>
    </xf>
    <xf numFmtId="0" fontId="27" fillId="0" borderId="37" xfId="191" applyFont="1" applyBorder="1" applyNumberFormat="1">
      <alignment horizontal="center" vertical="center" wrapText="1"/>
    </xf>
    <xf numFmtId="0" fontId="37" fillId="0" borderId="28" xfId="192" applyFont="1" applyBorder="1" applyNumberFormat="1">
      <alignment vertical="center"/>
    </xf>
    <xf numFmtId="49" fontId="47" fillId="0" borderId="23" xfId="193" applyFont="1" applyBorder="1" applyNumberFormat="1">
      <alignment horizontal="center" vertical="center" wrapText="1"/>
    </xf>
    <xf numFmtId="49" fontId="47" fillId="0" borderId="38" xfId="194" applyFont="1" applyBorder="1" applyNumberFormat="1">
      <alignment horizontal="center" vertical="center" wrapText="1"/>
    </xf>
    <xf numFmtId="49" fontId="47" fillId="0" borderId="39" xfId="195" applyFont="1" applyBorder="1" applyNumberFormat="1">
      <alignment horizontal="center" vertical="center" wrapText="1"/>
    </xf>
    <xf numFmtId="49" fontId="47" fillId="0" borderId="21" xfId="196" applyFont="1" applyBorder="1" applyNumberFormat="1">
      <alignment horizontal="center" vertical="center" wrapText="1"/>
    </xf>
    <xf numFmtId="49" fontId="47" fillId="0" borderId="20" xfId="197" applyFont="1" applyBorder="1" applyNumberFormat="1">
      <alignment horizontal="center" vertical="center" wrapText="1"/>
    </xf>
    <xf numFmtId="0" fontId="27" fillId="41" borderId="21" xfId="198" applyFont="1" applyFill="1" applyBorder="1" applyNumberFormat="1">
      <alignment horizontal="center" vertical="center" wrapText="1"/>
    </xf>
    <xf numFmtId="49" fontId="27" fillId="41" borderId="25" xfId="199" applyFont="1" applyFill="1" applyBorder="1" applyNumberFormat="1">
      <alignment horizontal="center" vertical="center" wrapText="1"/>
    </xf>
    <xf numFmtId="49" fontId="27" fillId="41" borderId="40" xfId="200" applyFont="1" applyFill="1" applyBorder="1" applyNumberFormat="1">
      <alignment horizontal="center" vertical="center" wrapText="1"/>
    </xf>
    <xf numFmtId="49" fontId="23" fillId="41" borderId="25" xfId="201" applyFont="1" applyFill="1" applyBorder="1" applyNumberFormat="1">
      <alignment horizontal="left" vertical="center"/>
    </xf>
    <xf numFmtId="0" fontId="23" fillId="41" borderId="20" xfId="202" applyFont="1" applyFill="1" applyBorder="1" applyNumberFormat="1">
      <alignment vertical="center"/>
    </xf>
    <xf numFmtId="49" fontId="27" fillId="0" borderId="23" xfId="203" applyFont="1" applyBorder="1" applyNumberFormat="1">
      <alignment horizontal="center" vertical="center" wrapText="1"/>
    </xf>
    <xf numFmtId="0" fontId="27" fillId="40" borderId="32" xfId="204" applyFont="1" applyFill="1" applyBorder="1" applyNumberFormat="1">
      <alignment horizontal="left" vertical="center" wrapText="1" indent="2"/>
    </xf>
    <xf numFmtId="49" fontId="27" fillId="40" borderId="30" xfId="205" applyFont="1" applyFill="1" applyBorder="1" applyNumberFormat="1">
      <alignment horizontal="center" vertical="center" wrapText="1"/>
    </xf>
    <xf numFmtId="14" fontId="54" fillId="0" borderId="41" xfId="206" applyFont="1" applyBorder="1" applyNumberFormat="1">
      <alignment horizontal="center" vertical="center" wrapText="1"/>
    </xf>
    <xf numFmtId="0" fontId="27" fillId="0" borderId="41" xfId="207" applyFont="1" applyBorder="1" applyNumberFormat="1">
      <alignment horizontal="center" vertical="center" wrapText="1"/>
    </xf>
    <xf numFmtId="0" fontId="27" fillId="40" borderId="32" xfId="208" applyFont="1" applyFill="1" applyBorder="1" applyNumberFormat="1">
      <alignment horizontal="left" vertical="center" wrapText="1" indent="1"/>
    </xf>
    <xf numFmtId="49" fontId="27" fillId="40" borderId="23" xfId="209" applyFont="1" applyFill="1" applyBorder="1" applyNumberFormat="1">
      <alignment horizontal="center" vertical="center" wrapText="1"/>
    </xf>
    <xf numFmtId="49" fontId="27" fillId="0" borderId="32" xfId="210" applyFont="1" applyBorder="1" applyNumberFormat="1">
      <alignment horizontal="center" vertical="center" wrapText="1"/>
    </xf>
    <xf numFmtId="49" fontId="53" fillId="38" borderId="23" xfId="211" applyFont="1" applyFill="1" applyBorder="1" applyNumberFormat="1">
      <alignment horizontal="left" vertical="center" wrapText="1" indent="1"/>
      <protection locked="0"/>
    </xf>
    <xf numFmtId="0" fontId="27" fillId="0" borderId="0" xfId="212" applyFont="1" applyNumberFormat="1">
      <alignment vertical="center"/>
    </xf>
    <xf numFmtId="0" fontId="37" fillId="0" borderId="0" xfId="213" applyFont="1" applyNumberFormat="1">
      <alignment vertical="center"/>
    </xf>
    <xf numFmtId="49" fontId="23" fillId="0" borderId="23" xfId="214" applyFont="1" applyBorder="1" applyNumberFormat="1">
      <alignment vertical="top"/>
    </xf>
    <xf numFmtId="0" fontId="47" fillId="0" borderId="23" xfId="215" applyFont="1" applyBorder="1" applyNumberFormat="1">
      <alignment horizontal="center" vertical="center" wrapText="1"/>
    </xf>
    <xf numFmtId="49" fontId="27" fillId="0" borderId="20" xfId="216" applyFont="1" applyBorder="1" applyNumberFormat="1">
      <alignment horizontal="center" vertical="center" wrapText="1"/>
    </xf>
    <xf numFmtId="0" fontId="27" fillId="40" borderId="42" xfId="217" applyFont="1" applyFill="1" applyBorder="1" applyNumberFormat="1">
      <alignment horizontal="left" vertical="center" wrapText="1" indent="2"/>
    </xf>
    <xf numFmtId="0" fontId="27" fillId="40" borderId="30" xfId="218" applyFont="1" applyFill="1" applyBorder="1" applyNumberFormat="1">
      <alignment horizontal="left" vertical="center" wrapText="1" indent="1"/>
    </xf>
    <xf numFmtId="49" fontId="48" fillId="41" borderId="20" xfId="219" applyFont="1" applyFill="1" applyBorder="1" applyNumberFormat="1">
      <alignment horizontal="left" vertical="center" indent="1"/>
    </xf>
    <xf numFmtId="0" fontId="27" fillId="40" borderId="30" xfId="220" applyFont="1" applyFill="1" applyBorder="1" applyNumberFormat="1">
      <alignment horizontal="left" vertical="center" wrapText="1" indent="2"/>
    </xf>
    <xf numFmtId="49" fontId="31" fillId="41" borderId="43" xfId="221" applyFont="1" applyFill="1" applyBorder="1" applyNumberFormat="1">
      <alignment horizontal="right" vertical="center" wrapText="1"/>
    </xf>
    <xf numFmtId="49" fontId="31" fillId="41" borderId="44" xfId="222" applyFont="1" applyFill="1" applyBorder="1" applyNumberFormat="1">
      <alignment horizontal="right" vertical="center" wrapText="1"/>
    </xf>
    <xf numFmtId="49" fontId="31" fillId="41" borderId="20" xfId="223" applyFont="1" applyFill="1" applyBorder="1" applyNumberFormat="1">
      <alignment horizontal="right" vertical="center" wrapText="1"/>
    </xf>
    <xf numFmtId="0" fontId="53" fillId="42" borderId="0" xfId="224" applyFont="1" applyFill="1" applyNumberFormat="1">
      <alignment vertical="top"/>
    </xf>
    <xf numFmtId="49" fontId="48" fillId="41" borderId="25" xfId="225" applyFont="1" applyFill="1" applyBorder="1" applyNumberFormat="1">
      <alignment horizontal="left" vertical="center" indent="2"/>
    </xf>
    <xf numFmtId="0" fontId="27" fillId="0" borderId="27" xfId="226" applyFont="1" applyBorder="1" applyNumberFormat="1">
      <alignment horizontal="left" vertical="top" wrapText="1" indent="1"/>
    </xf>
    <xf numFmtId="0" fontId="27" fillId="0" borderId="32" xfId="227" applyFont="1" applyBorder="1" applyNumberFormat="1">
      <alignment horizontal="left" vertical="top" wrapText="1" indent="1"/>
    </xf>
    <xf numFmtId="0" fontId="27" fillId="0" borderId="33" xfId="228" applyFont="1" applyBorder="1" applyNumberFormat="1">
      <alignment horizontal="left" vertical="top" wrapText="1" indent="1"/>
    </xf>
    <xf numFmtId="0" fontId="27" fillId="0" borderId="45" xfId="229" applyFont="1" applyBorder="1" applyNumberFormat="1">
      <alignment horizontal="left" vertical="center" indent="1"/>
    </xf>
    <xf numFmtId="0" fontId="55" fillId="0" borderId="29" xfId="230" applyFont="1" applyBorder="1" applyNumberFormat="1">
      <alignment horizontal="left" vertical="center" wrapText="1" indent="1"/>
    </xf>
    <xf numFmtId="0" fontId="55" fillId="0" borderId="42" xfId="231" applyFont="1" applyBorder="1" applyNumberFormat="1">
      <alignment horizontal="left" vertical="center" wrapText="1" indent="1"/>
    </xf>
    <xf numFmtId="0" fontId="55" fillId="0" borderId="28" xfId="232" applyFont="1" applyBorder="1" applyNumberFormat="1">
      <alignment horizontal="left" vertical="center" wrapText="1" indent="1"/>
    </xf>
    <xf numFmtId="0" fontId="56" fillId="0" borderId="0" xfId="233" applyFont="1" applyNumberFormat="1">
      <alignment vertical="center"/>
    </xf>
    <xf numFmtId="0" fontId="23" fillId="0" borderId="23" xfId="234" applyFont="1" applyBorder="1" applyNumberFormat="1">
      <alignment horizontal="center" vertical="center" wrapText="1"/>
    </xf>
    <xf numFmtId="49" fontId="44" fillId="39" borderId="0" xfId="235" applyFont="1" applyFill="1" applyNumberFormat="1">
      <alignment horizontal="center" vertical="center" wrapText="1"/>
    </xf>
    <xf numFmtId="49" fontId="44" fillId="39" borderId="45" xfId="236" applyFont="1" applyFill="1" applyBorder="1" applyNumberFormat="1">
      <alignment horizontal="center" vertical="center" wrapText="1"/>
    </xf>
    <xf numFmtId="0" fontId="44" fillId="0" borderId="23" xfId="237" applyFont="1" applyBorder="1" applyNumberFormat="1">
      <alignment horizontal="center" vertical="center"/>
    </xf>
    <xf numFmtId="0" fontId="23" fillId="0" borderId="23" xfId="238" applyFont="1" applyBorder="1" applyNumberFormat="1">
      <alignment horizontal="center" vertical="center"/>
    </xf>
    <xf numFmtId="49" fontId="23" fillId="0" borderId="23" xfId="239" applyFont="1" applyBorder="1" applyNumberFormat="1">
      <alignment horizontal="center" vertical="center"/>
    </xf>
    <xf numFmtId="49" fontId="23" fillId="0" borderId="23" xfId="240" applyFont="1" applyBorder="1" applyNumberFormat="1">
      <alignment horizontal="left" vertical="center"/>
    </xf>
    <xf numFmtId="0" fontId="23" fillId="0" borderId="23" xfId="241" applyFont="1" applyBorder="1" applyNumberFormat="1">
      <alignment horizontal="center" vertical="top"/>
    </xf>
    <xf numFmtId="0" fontId="27" fillId="0" borderId="23" xfId="242" applyFont="1" applyBorder="1" applyNumberFormat="1">
      <alignment horizontal="left" vertical="top" wrapText="1"/>
    </xf>
    <xf numFmtId="0" fontId="27" fillId="40" borderId="32" xfId="243" applyFont="1" applyFill="1" applyBorder="1" applyNumberFormat="1">
      <alignment horizontal="center" vertical="top" wrapText="1"/>
    </xf>
    <xf numFmtId="0" fontId="23" fillId="0" borderId="33" xfId="244" applyFont="1" applyBorder="1" applyNumberFormat="1">
      <alignment horizontal="center" vertical="center"/>
    </xf>
    <xf numFmtId="0" fontId="23" fillId="0" borderId="26" xfId="245" applyFont="1" applyBorder="1" applyNumberFormat="1">
      <alignment horizontal="center" vertical="center"/>
    </xf>
    <xf numFmtId="49" fontId="27" fillId="0" borderId="26" xfId="246" applyFont="1" applyBorder="1" applyNumberFormat="1">
      <alignment horizontal="left" vertical="center" wrapText="1"/>
    </xf>
    <xf numFmtId="49" fontId="27" fillId="0" borderId="26" xfId="247" applyFont="1" applyBorder="1" applyNumberFormat="1">
      <alignment horizontal="center" vertical="center" wrapText="1"/>
    </xf>
    <xf numFmtId="0" fontId="23" fillId="0" borderId="26" xfId="248" applyFont="1" applyBorder="1" applyNumberFormat="1">
      <alignment horizontal="left" vertical="center" wrapText="1"/>
    </xf>
    <xf numFmtId="49" fontId="23" fillId="0" borderId="26" xfId="249" applyFont="1" applyBorder="1" applyNumberFormat="1">
      <alignment horizontal="left" vertical="center" wrapText="1"/>
    </xf>
    <xf numFmtId="49" fontId="27" fillId="0" borderId="27" xfId="250" applyFont="1" applyBorder="1" applyNumberFormat="1">
      <alignment horizontal="left" vertical="center" wrapText="1"/>
    </xf>
    <xf numFmtId="0" fontId="27" fillId="0" borderId="0" xfId="251" applyFont="1" applyNumberFormat="1">
      <alignment horizontal="left" vertical="center" indent="1"/>
    </xf>
    <xf numFmtId="0" fontId="27" fillId="40" borderId="42" xfId="252" applyFont="1" applyFill="1" applyBorder="1" applyNumberFormat="1">
      <alignment horizontal="center" vertical="top" wrapText="1"/>
    </xf>
    <xf numFmtId="0" fontId="23" fillId="0" borderId="28" xfId="253" applyFont="1" applyBorder="1" applyNumberFormat="1">
      <alignment horizontal="center" vertical="center"/>
    </xf>
    <xf numFmtId="0" fontId="48" fillId="0" borderId="29" xfId="254" applyFont="1" applyBorder="1" applyNumberFormat="1">
      <alignment horizontal="left" vertical="center"/>
    </xf>
    <xf numFmtId="49" fontId="23" fillId="0" borderId="23" xfId="255" applyFont="1" applyBorder="1" applyNumberFormat="1">
      <alignment horizontal="left" vertical="top"/>
    </xf>
    <xf numFmtId="0" fontId="27" fillId="40" borderId="30" xfId="256" applyFont="1" applyFill="1" applyBorder="1" applyNumberFormat="1">
      <alignment horizontal="center" vertical="top" wrapText="1"/>
    </xf>
    <xf numFmtId="0" fontId="48" fillId="0" borderId="35" xfId="257" applyFont="1" applyBorder="1" applyNumberFormat="1">
      <alignment horizontal="left" vertical="center"/>
    </xf>
    <xf numFmtId="0" fontId="48" fillId="0" borderId="45" xfId="258" applyFont="1" applyBorder="1" applyNumberFormat="1">
      <alignment horizontal="left" vertical="center"/>
    </xf>
    <xf numFmtId="0" fontId="23" fillId="0" borderId="45" xfId="259" applyFont="1" applyBorder="1" applyNumberFormat="1">
      <alignment vertical="center"/>
    </xf>
    <xf numFmtId="0" fontId="48" fillId="0" borderId="34" xfId="260" applyFont="1" applyBorder="1" applyNumberFormat="1">
      <alignment horizontal="left" vertical="center"/>
    </xf>
    <xf numFmtId="0" fontId="27" fillId="38" borderId="23" xfId="261" applyFont="1" applyFill="1" applyBorder="1" applyNumberFormat="1">
      <alignment horizontal="left" vertical="top" wrapText="1"/>
      <protection locked="0"/>
    </xf>
    <xf numFmtId="49" fontId="27" fillId="0" borderId="0" xfId="262" applyFont="1" applyNumberFormat="1">
      <alignment horizontal="left" vertical="center" indent="1"/>
    </xf>
    <xf numFmtId="0" fontId="23" fillId="38" borderId="23" xfId="263" applyFont="1" applyFill="1" applyBorder="1" applyNumberFormat="1">
      <alignment horizontal="left" vertical="top"/>
      <protection locked="0"/>
    </xf>
    <xf numFmtId="0" fontId="23" fillId="0" borderId="32" xfId="264" applyFont="1" applyBorder="1" applyNumberFormat="1">
      <alignment horizontal="center" vertical="top"/>
    </xf>
    <xf numFmtId="0" fontId="27" fillId="0" borderId="32" xfId="265" applyFont="1" applyBorder="1" applyNumberFormat="1">
      <alignment horizontal="left" vertical="top" wrapText="1"/>
    </xf>
    <xf numFmtId="0" fontId="23" fillId="0" borderId="42" xfId="266" applyFont="1" applyBorder="1" applyNumberFormat="1">
      <alignment horizontal="center" vertical="top"/>
    </xf>
    <xf numFmtId="0" fontId="27" fillId="0" borderId="42" xfId="267" applyFont="1" applyBorder="1" applyNumberFormat="1">
      <alignment horizontal="left" vertical="top" wrapText="1"/>
    </xf>
    <xf numFmtId="0" fontId="23" fillId="0" borderId="30" xfId="268" applyFont="1" applyBorder="1" applyNumberFormat="1">
      <alignment horizontal="center" vertical="top"/>
    </xf>
    <xf numFmtId="0" fontId="27" fillId="0" borderId="30" xfId="269" applyFont="1" applyBorder="1" applyNumberFormat="1">
      <alignment horizontal="left" vertical="top" wrapText="1"/>
    </xf>
    <xf numFmtId="0" fontId="23" fillId="0" borderId="0" xfId="270" applyFont="1" applyNumberFormat="1">
      <alignment horizontal="left" vertical="top" wrapText="1"/>
    </xf>
    <xf numFmtId="0" fontId="23" fillId="0" borderId="0" xfId="271" applyFont="1" applyNumberFormat="1" quotePrefix="1">
      <alignment horizontal="left" vertical="top" wrapText="1" indent="1"/>
    </xf>
    <xf numFmtId="49" fontId="44" fillId="0" borderId="0" xfId="272" applyFont="1" applyNumberFormat="1">
      <alignment vertical="top"/>
    </xf>
    <xf numFmtId="49" fontId="44" fillId="0" borderId="0" xfId="273" applyFont="1" applyNumberFormat="1">
      <alignment horizontal="center" vertical="center"/>
    </xf>
    <xf numFmtId="49" fontId="56" fillId="0" borderId="0" xfId="274" applyFont="1" applyNumberFormat="1">
      <alignment vertical="top"/>
    </xf>
    <xf numFmtId="0" fontId="27" fillId="0" borderId="26" xfId="275" applyFont="1" applyBorder="1" applyNumberFormat="1">
      <alignment horizontal="left" vertical="center" wrapText="1" indent="1"/>
    </xf>
    <xf numFmtId="0" fontId="27" fillId="0" borderId="45" xfId="276" applyFont="1" applyBorder="1" applyNumberFormat="1">
      <alignment horizontal="left" vertical="center" wrapText="1" indent="1"/>
    </xf>
    <xf numFmtId="0" fontId="27" fillId="0" borderId="33" xfId="277" applyFont="1" applyBorder="1" applyNumberFormat="1">
      <alignment horizontal="center" vertical="center" wrapText="1"/>
    </xf>
    <xf numFmtId="0" fontId="27" fillId="0" borderId="27" xfId="278" applyFont="1" applyBorder="1" applyNumberFormat="1">
      <alignment horizontal="center" vertical="center" wrapText="1"/>
    </xf>
    <xf numFmtId="0" fontId="27" fillId="0" borderId="42" xfId="279" applyFont="1" applyBorder="1" applyNumberFormat="1">
      <alignment horizontal="center" vertical="center" wrapText="1"/>
    </xf>
    <xf numFmtId="0" fontId="27" fillId="0" borderId="32" xfId="280" applyFont="1" applyBorder="1" applyNumberFormat="1">
      <alignment horizontal="center" vertical="center" wrapText="1"/>
    </xf>
    <xf numFmtId="0" fontId="27" fillId="0" borderId="28" xfId="281" applyFont="1" applyBorder="1" applyNumberFormat="1">
      <alignment horizontal="center" vertical="center" wrapText="1"/>
    </xf>
    <xf numFmtId="0" fontId="27" fillId="0" borderId="29" xfId="282" applyFont="1" applyBorder="1" applyNumberFormat="1">
      <alignment horizontal="center" vertical="center" wrapText="1"/>
    </xf>
    <xf numFmtId="0" fontId="27" fillId="0" borderId="35" xfId="283" applyFont="1" applyBorder="1" applyNumberFormat="1">
      <alignment horizontal="center" vertical="center" wrapText="1"/>
    </xf>
    <xf numFmtId="0" fontId="27" fillId="0" borderId="34" xfId="284" applyFont="1" applyBorder="1" applyNumberFormat="1">
      <alignment horizontal="center" vertical="center" wrapText="1"/>
    </xf>
    <xf numFmtId="49" fontId="27" fillId="0" borderId="0" xfId="285" applyFont="1" applyNumberFormat="1">
      <alignment vertical="top"/>
    </xf>
    <xf numFmtId="49" fontId="27" fillId="0" borderId="23" xfId="286" applyFont="1" applyBorder="1" applyNumberFormat="1">
      <alignment horizontal="center" vertical="center"/>
    </xf>
    <xf numFmtId="0" fontId="27" fillId="0" borderId="23" xfId="287" applyFont="1" applyBorder="1" applyNumberFormat="1">
      <alignment horizontal="left" vertical="center" wrapText="1"/>
    </xf>
    <xf numFmtId="49" fontId="27" fillId="40" borderId="32" xfId="288" applyFont="1" applyFill="1" applyBorder="1" applyNumberFormat="1">
      <alignment horizontal="center" vertical="center" wrapText="1"/>
    </xf>
    <xf numFmtId="49" fontId="27" fillId="0" borderId="33" xfId="289" applyFont="1" applyBorder="1" applyNumberFormat="1">
      <alignment vertical="center" wrapText="1"/>
    </xf>
    <xf numFmtId="0" fontId="27" fillId="0" borderId="26" xfId="290" applyFont="1" applyBorder="1" applyNumberFormat="1">
      <alignment horizontal="center" vertical="center"/>
    </xf>
    <xf numFmtId="49" fontId="27" fillId="0" borderId="26" xfId="291" applyFont="1" applyBorder="1" applyNumberFormat="1">
      <alignment vertical="center" wrapText="1"/>
    </xf>
    <xf numFmtId="49" fontId="50" fillId="0" borderId="26" xfId="292" applyFont="1" applyBorder="1" applyNumberFormat="1">
      <alignment vertical="center" wrapText="1"/>
    </xf>
    <xf numFmtId="0" fontId="27" fillId="0" borderId="26" xfId="293" applyFont="1" applyBorder="1" applyNumberFormat="1">
      <alignment horizontal="left" vertical="center" wrapText="1"/>
    </xf>
    <xf numFmtId="49" fontId="27" fillId="40" borderId="42" xfId="294" applyFont="1" applyFill="1" applyBorder="1" applyNumberFormat="1">
      <alignment horizontal="center" vertical="center" wrapText="1"/>
    </xf>
    <xf numFmtId="49" fontId="27" fillId="0" borderId="28" xfId="295" applyFont="1" applyBorder="1" applyNumberFormat="1">
      <alignment vertical="center" wrapText="1"/>
    </xf>
    <xf numFmtId="0" fontId="48" fillId="0" borderId="28" xfId="296" applyFont="1" applyBorder="1" applyNumberFormat="1">
      <alignment horizontal="left" vertical="center"/>
    </xf>
    <xf numFmtId="49" fontId="27" fillId="0" borderId="32" xfId="297" applyFont="1" applyBorder="1" applyNumberFormat="1">
      <alignment horizontal="center" vertical="center"/>
    </xf>
    <xf numFmtId="0" fontId="27" fillId="0" borderId="32" xfId="298" applyFont="1" applyBorder="1" applyNumberFormat="1">
      <alignment horizontal="left" vertical="center" wrapText="1"/>
    </xf>
    <xf numFmtId="0" fontId="27" fillId="0" borderId="33" xfId="299" applyFont="1" applyBorder="1" applyNumberFormat="1">
      <alignment horizontal="left" vertical="center" wrapText="1"/>
    </xf>
    <xf numFmtId="49" fontId="56" fillId="0" borderId="35" xfId="300" applyFont="1" applyBorder="1" applyNumberFormat="1">
      <alignment vertical="top"/>
    </xf>
    <xf numFmtId="49" fontId="56" fillId="0" borderId="45" xfId="301" applyFont="1" applyBorder="1" applyNumberFormat="1">
      <alignment vertical="top"/>
    </xf>
    <xf numFmtId="49" fontId="28" fillId="0" borderId="0" xfId="302" applyFont="1" applyNumberFormat="1">
      <alignment vertical="top"/>
    </xf>
    <xf numFmtId="0" fontId="27" fillId="0" borderId="21" xfId="303" applyFont="1" applyBorder="1" applyNumberFormat="1">
      <alignment horizontal="left" vertical="center" wrapText="1"/>
    </xf>
    <xf numFmtId="0" fontId="27" fillId="39" borderId="0" xfId="304" applyFont="1" applyFill="1" applyNumberFormat="1"/>
    <xf numFmtId="0" fontId="23" fillId="39" borderId="0" xfId="305" applyFont="1" applyFill="1" applyNumberFormat="1"/>
    <xf numFmtId="0" fontId="44" fillId="39" borderId="0" xfId="306" applyFont="1" applyFill="1" applyNumberFormat="1"/>
    <xf numFmtId="0" fontId="40" fillId="39" borderId="0" xfId="307" applyFont="1" applyFill="1" applyNumberFormat="1">
      <alignment horizontal="center"/>
    </xf>
    <xf numFmtId="0" fontId="40" fillId="39" borderId="0" xfId="308" applyFont="1" applyFill="1" applyNumberFormat="1"/>
    <xf numFmtId="0" fontId="57" fillId="39" borderId="0" xfId="309" applyFont="1" applyFill="1" applyNumberFormat="1">
      <alignment horizontal="right" vertical="center"/>
    </xf>
    <xf numFmtId="0" fontId="44" fillId="39" borderId="0" xfId="310" applyFont="1" applyFill="1" applyNumberFormat="1">
      <alignment vertical="center" wrapText="1"/>
    </xf>
    <xf numFmtId="0" fontId="35" fillId="39" borderId="0" xfId="311" applyFont="1" applyFill="1" applyNumberFormat="1">
      <alignment horizontal="left" vertical="center" wrapText="1"/>
    </xf>
    <xf numFmtId="49" fontId="23" fillId="39" borderId="23" xfId="312" applyFont="1" applyFill="1" applyBorder="1" applyNumberFormat="1">
      <alignment horizontal="center" vertical="center" wrapText="1"/>
    </xf>
    <xf numFmtId="49" fontId="27" fillId="39" borderId="23" xfId="313" applyFont="1" applyFill="1" applyBorder="1" applyNumberFormat="1">
      <alignment horizontal="center" vertical="center" wrapText="1"/>
    </xf>
    <xf numFmtId="0" fontId="23" fillId="39" borderId="23" xfId="314" applyFont="1" applyFill="1" applyBorder="1" applyNumberFormat="1">
      <alignment horizontal="center" vertical="center" wrapText="1"/>
    </xf>
    <xf numFmtId="0" fontId="27" fillId="39" borderId="23" xfId="315" applyFont="1" applyFill="1" applyBorder="1" applyNumberFormat="1">
      <alignment horizontal="center" vertical="center" wrapText="1"/>
    </xf>
    <xf numFmtId="0" fontId="47" fillId="39" borderId="0" xfId="316" applyFont="1" applyFill="1" applyNumberFormat="1">
      <alignment horizontal="center" vertical="center"/>
    </xf>
    <xf numFmtId="49" fontId="44" fillId="0" borderId="23" xfId="317" applyFont="1" applyBorder="1" applyNumberFormat="1">
      <alignment horizontal="center" vertical="center"/>
    </xf>
    <xf numFmtId="0" fontId="44" fillId="0" borderId="23" xfId="318" applyFont="1" applyBorder="1" applyNumberFormat="1">
      <alignment vertical="center" wrapText="1"/>
    </xf>
    <xf numFmtId="0" fontId="44" fillId="0" borderId="23" xfId="319" applyFont="1" applyBorder="1" applyNumberFormat="1">
      <alignment horizontal="left" vertical="center" wrapText="1"/>
    </xf>
    <xf numFmtId="0" fontId="58" fillId="39" borderId="0" xfId="320" applyFont="1" applyFill="1" applyNumberFormat="1"/>
    <xf numFmtId="49" fontId="23" fillId="39" borderId="23" xfId="321" applyFont="1" applyFill="1" applyBorder="1" applyNumberFormat="1">
      <alignment horizontal="center" vertical="center"/>
    </xf>
    <xf numFmtId="0" fontId="23" fillId="39" borderId="23" xfId="322" applyFont="1" applyFill="1" applyBorder="1" applyNumberFormat="1">
      <alignment vertical="center" wrapText="1"/>
    </xf>
    <xf numFmtId="0" fontId="27" fillId="39" borderId="23" xfId="323" applyFont="1" applyFill="1" applyBorder="1" applyNumberFormat="1">
      <alignment vertical="center" wrapText="1"/>
    </xf>
    <xf numFmtId="0" fontId="23" fillId="39" borderId="23" xfId="324" applyFont="1" applyFill="1" applyBorder="1" applyNumberFormat="1">
      <alignment horizontal="left" vertical="center" wrapText="1" indent="1"/>
    </xf>
    <xf numFmtId="49" fontId="23" fillId="38" borderId="23" xfId="325" applyFont="1" applyFill="1" applyBorder="1" applyNumberFormat="1">
      <alignment horizontal="left" vertical="center" wrapText="1"/>
      <protection locked="0"/>
    </xf>
    <xf numFmtId="0" fontId="44" fillId="0" borderId="23" xfId="326" applyFont="1" applyBorder="1" applyNumberFormat="1">
      <alignment horizontal="left" vertical="center" wrapText="1" indent="1"/>
    </xf>
    <xf numFmtId="49" fontId="27" fillId="39" borderId="0" xfId="327" applyFont="1" applyFill="1" applyNumberFormat="1">
      <alignment horizontal="center" vertical="center" wrapText="1"/>
    </xf>
    <xf numFmtId="0" fontId="27" fillId="39" borderId="29" xfId="328" applyFont="1" applyFill="1" applyBorder="1" applyNumberFormat="1">
      <alignment horizontal="center" vertical="center" wrapText="1"/>
    </xf>
    <xf numFmtId="0" fontId="23" fillId="39" borderId="23" xfId="329" applyFont="1" applyFill="1" applyBorder="1" applyNumberFormat="1">
      <alignment horizontal="center" vertical="center"/>
    </xf>
    <xf numFmtId="0" fontId="23" fillId="39" borderId="23" xfId="330" applyFont="1" applyFill="1" applyBorder="1" applyNumberFormat="1">
      <alignment horizontal="left" vertical="center" wrapText="1" indent="2"/>
    </xf>
    <xf numFmtId="49" fontId="23" fillId="0" borderId="23" xfId="331" applyFont="1" applyBorder="1" applyNumberFormat="1">
      <alignment horizontal="left" vertical="center" wrapText="1"/>
    </xf>
    <xf numFmtId="49" fontId="27" fillId="39" borderId="0" xfId="332" applyFont="1" applyFill="1" applyNumberFormat="1">
      <alignment vertical="center" wrapText="1"/>
    </xf>
    <xf numFmtId="0" fontId="27" fillId="39" borderId="29" xfId="333" applyFont="1" applyFill="1" applyBorder="1" applyNumberFormat="1">
      <alignment vertical="center" wrapText="1"/>
    </xf>
    <xf numFmtId="0" fontId="27" fillId="41" borderId="21" xfId="334" applyFont="1" applyFill="1" applyBorder="1" applyNumberFormat="1">
      <alignment horizontal="center"/>
    </xf>
    <xf numFmtId="0" fontId="57" fillId="41" borderId="25" xfId="335" applyFont="1" applyFill="1" applyBorder="1" applyNumberFormat="1">
      <alignment horizontal="left" vertical="center"/>
    </xf>
    <xf numFmtId="0" fontId="57" fillId="41" borderId="20" xfId="336" applyFont="1" applyFill="1" applyBorder="1" applyNumberFormat="1">
      <alignment horizontal="left" vertical="center"/>
    </xf>
    <xf numFmtId="49" fontId="44" fillId="39" borderId="23" xfId="337" applyFont="1" applyFill="1" applyBorder="1" applyNumberFormat="1">
      <alignment horizontal="center" vertical="center"/>
    </xf>
    <xf numFmtId="0" fontId="44" fillId="39" borderId="23" xfId="338" applyFont="1" applyFill="1" applyBorder="1" applyNumberFormat="1">
      <alignment vertical="center" wrapText="1"/>
    </xf>
    <xf numFmtId="0" fontId="44" fillId="39" borderId="23" xfId="339" applyFont="1" applyFill="1" applyBorder="1" applyNumberFormat="1">
      <alignment horizontal="left" vertical="center" wrapText="1" indent="1"/>
    </xf>
    <xf numFmtId="0" fontId="44" fillId="39" borderId="23" xfId="340" applyFont="1" applyFill="1" applyBorder="1" applyNumberFormat="1">
      <alignment horizontal="left" vertical="center" wrapText="1" indent="2"/>
    </xf>
    <xf numFmtId="49" fontId="44" fillId="0" borderId="23" xfId="341" applyFont="1" applyBorder="1" applyNumberFormat="1">
      <alignment horizontal="left" vertical="center" wrapText="1"/>
    </xf>
    <xf numFmtId="0" fontId="23" fillId="39" borderId="23" xfId="342" applyFont="1" applyFill="1" applyBorder="1" applyNumberFormat="1">
      <alignment horizontal="left" vertical="center" wrapText="1"/>
    </xf>
    <xf numFmtId="49" fontId="23" fillId="35" borderId="23" xfId="343" applyFont="1" applyFill="1" applyBorder="1" applyNumberFormat="1">
      <alignment horizontal="left" vertical="center" wrapText="1"/>
      <protection locked="0"/>
    </xf>
    <xf numFmtId="0" fontId="23" fillId="39" borderId="32" xfId="344" applyFont="1" applyFill="1" applyBorder="1" applyNumberFormat="1">
      <alignment horizontal="left" vertical="center" wrapText="1"/>
    </xf>
    <xf numFmtId="0" fontId="27" fillId="39" borderId="32" xfId="345" applyFont="1" applyFill="1" applyBorder="1" applyNumberFormat="1">
      <alignment horizontal="left" vertical="top" wrapText="1"/>
    </xf>
    <xf numFmtId="49" fontId="23" fillId="0" borderId="23" xfId="346" applyFont="1" applyBorder="1" applyNumberFormat="1">
      <alignment horizontal="left" vertical="center" wrapText="1" indent="1"/>
    </xf>
    <xf numFmtId="0" fontId="27" fillId="39" borderId="42" xfId="347" applyFont="1" applyFill="1" applyBorder="1" applyNumberFormat="1">
      <alignment horizontal="left" vertical="top" wrapText="1"/>
    </xf>
    <xf numFmtId="0" fontId="50" fillId="39" borderId="0" xfId="348" applyFont="1" applyFill="1" applyNumberFormat="1">
      <alignment horizontal="center" vertical="center" wrapText="1"/>
    </xf>
    <xf numFmtId="49" fontId="23" fillId="38" borderId="23" xfId="349" applyFont="1" applyFill="1" applyBorder="1" applyNumberFormat="1">
      <alignment horizontal="left" vertical="center" wrapText="1" indent="1"/>
      <protection locked="0"/>
    </xf>
    <xf numFmtId="49" fontId="27" fillId="38" borderId="21" xfId="350" applyFont="1" applyFill="1" applyBorder="1" applyNumberFormat="1">
      <alignment horizontal="left" vertical="center" wrapText="1"/>
      <protection locked="0"/>
    </xf>
    <xf numFmtId="0" fontId="27" fillId="39" borderId="30" xfId="351" applyFont="1" applyFill="1" applyBorder="1" applyNumberFormat="1">
      <alignment horizontal="left" vertical="top" wrapText="1"/>
    </xf>
    <xf numFmtId="0" fontId="59" fillId="39" borderId="0" xfId="352" applyFont="1" applyFill="1" applyNumberFormat="1"/>
    <xf numFmtId="49" fontId="27" fillId="38" borderId="23" xfId="353" applyFont="1" applyFill="1" applyBorder="1" applyNumberFormat="1" quotePrefix="1">
      <alignment horizontal="left" vertical="center" wrapText="1"/>
      <protection locked="0"/>
    </xf>
    <xf numFmtId="49" fontId="27" fillId="35" borderId="23" xfId="354" applyFont="1" applyFill="1" applyBorder="1" applyNumberFormat="1">
      <alignment horizontal="left" vertical="center" wrapText="1"/>
      <protection locked="0"/>
    </xf>
    <xf numFmtId="49" fontId="27" fillId="40" borderId="23" xfId="355" applyFont="1" applyFill="1" applyBorder="1" applyNumberFormat="1">
      <alignment horizontal="left" vertical="center" wrapText="1"/>
    </xf>
    <xf numFmtId="0" fontId="23" fillId="39" borderId="21" xfId="356" applyFont="1" applyFill="1" applyBorder="1" applyNumberFormat="1">
      <alignment horizontal="left" vertical="center" wrapText="1" indent="1"/>
    </xf>
    <xf numFmtId="49" fontId="27" fillId="40" borderId="21" xfId="357" applyFont="1" applyFill="1" applyBorder="1" applyNumberFormat="1">
      <alignment horizontal="left" vertical="center" wrapText="1"/>
    </xf>
    <xf numFmtId="0" fontId="23" fillId="39" borderId="23" xfId="358" applyFont="1" applyFill="1" applyBorder="1" applyNumberFormat="1">
      <alignment vertical="top" wrapText="1"/>
    </xf>
    <xf numFmtId="0" fontId="23" fillId="39" borderId="21" xfId="359" applyFont="1" applyFill="1" applyBorder="1" applyNumberFormat="1">
      <alignment horizontal="left" vertical="center" wrapText="1"/>
    </xf>
    <xf numFmtId="0" fontId="23" fillId="39" borderId="30" xfId="360" applyFont="1" applyFill="1" applyBorder="1" applyNumberFormat="1">
      <alignment vertical="center" wrapText="1"/>
    </xf>
    <xf numFmtId="0" fontId="49" fillId="0" borderId="0" xfId="361" applyFont="1" applyNumberFormat="1">
      <alignment horizontal="left" vertical="top" wrapText="1" indent="1"/>
    </xf>
    <xf numFmtId="0" fontId="60" fillId="39" borderId="0" xfId="362" applyFont="1" applyFill="1" applyNumberFormat="1"/>
    <xf numFmtId="0" fontId="53" fillId="39" borderId="0" xfId="363" applyFont="1" applyFill="1" applyNumberFormat="1">
      <alignment horizontal="center"/>
    </xf>
    <xf numFmtId="0" fontId="53" fillId="39" borderId="0" xfId="364" applyFont="1" applyFill="1" applyNumberFormat="1"/>
    <xf numFmtId="0" fontId="61" fillId="39" borderId="0" xfId="365" applyFont="1" applyFill="1" applyNumberFormat="1">
      <alignment horizontal="right" vertical="center"/>
    </xf>
    <xf numFmtId="0" fontId="62" fillId="39" borderId="0" xfId="366" applyFont="1" applyFill="1" applyNumberFormat="1">
      <alignment vertical="center"/>
    </xf>
    <xf numFmtId="0" fontId="61" fillId="39" borderId="0" xfId="367" applyFont="1" applyFill="1" applyNumberFormat="1">
      <alignment horizontal="right" vertical="top"/>
    </xf>
    <xf numFmtId="0" fontId="62" fillId="39" borderId="0" xfId="368" applyFont="1" applyFill="1" applyNumberFormat="1">
      <alignment vertical="center" wrapText="1"/>
    </xf>
    <xf numFmtId="0" fontId="23" fillId="39" borderId="0" xfId="369" applyFont="1" applyFill="1" applyNumberFormat="1">
      <alignment horizontal="center"/>
    </xf>
    <xf numFmtId="0" fontId="37" fillId="0" borderId="0" xfId="370" applyFont="1" applyNumberFormat="1">
      <alignment horizontal="center" vertical="center" wrapText="1"/>
    </xf>
    <xf numFmtId="0" fontId="63" fillId="39" borderId="0" xfId="371" applyFont="1" applyFill="1" applyNumberFormat="1">
      <alignment horizontal="center" vertical="center" wrapText="1"/>
    </xf>
    <xf numFmtId="0" fontId="63" fillId="39" borderId="0" xfId="372" applyFont="1" applyFill="1" applyNumberFormat="1">
      <alignment horizontal="right" vertical="center" wrapText="1"/>
    </xf>
    <xf numFmtId="0" fontId="63" fillId="0" borderId="0" xfId="373" applyFont="1" applyNumberFormat="1">
      <alignment vertical="center" wrapText="1"/>
    </xf>
    <xf numFmtId="0" fontId="27" fillId="0" borderId="34" xfId="374" applyFont="1" applyBorder="1" applyNumberFormat="1">
      <alignment horizontal="left" vertical="center" wrapText="1" indent="1"/>
    </xf>
    <xf numFmtId="0" fontId="27" fillId="0" borderId="30" xfId="375" applyFont="1" applyBorder="1" applyNumberFormat="1">
      <alignment horizontal="left" vertical="center" wrapText="1" indent="1"/>
    </xf>
    <xf numFmtId="0" fontId="27" fillId="0" borderId="35" xfId="376" applyFont="1" applyBorder="1" applyNumberFormat="1">
      <alignment horizontal="left" vertical="center" wrapText="1" indent="1"/>
    </xf>
    <xf numFmtId="0" fontId="64" fillId="39" borderId="0" xfId="377" applyFont="1" applyFill="1" applyNumberFormat="1">
      <alignment horizontal="center" vertical="center" wrapText="1"/>
    </xf>
    <xf numFmtId="0" fontId="23" fillId="0" borderId="21" xfId="378" applyFont="1" applyBorder="1" applyNumberFormat="1">
      <alignment horizontal="center" vertical="center" wrapText="1"/>
    </xf>
    <xf numFmtId="0" fontId="23" fillId="0" borderId="25" xfId="379" applyFont="1" applyBorder="1" applyNumberFormat="1">
      <alignment horizontal="center" vertical="center" wrapText="1"/>
    </xf>
    <xf numFmtId="0" fontId="23" fillId="0" borderId="20" xfId="380" applyFont="1" applyBorder="1" applyNumberFormat="1">
      <alignment horizontal="center" vertical="center" wrapText="1"/>
    </xf>
    <xf numFmtId="0" fontId="23" fillId="0" borderId="32" xfId="381" applyFont="1" applyBorder="1" applyNumberFormat="1">
      <alignment horizontal="center" vertical="center" wrapText="1"/>
    </xf>
    <xf numFmtId="0" fontId="23" fillId="0" borderId="33" xfId="382" applyFont="1" applyBorder="1" applyNumberFormat="1">
      <alignment horizontal="center" vertical="center" wrapText="1"/>
    </xf>
    <xf numFmtId="0" fontId="23" fillId="0" borderId="27" xfId="383" applyFont="1" applyBorder="1" applyNumberFormat="1">
      <alignment horizontal="center" vertical="center" wrapText="1"/>
    </xf>
    <xf numFmtId="0" fontId="23" fillId="0" borderId="30" xfId="384" applyFont="1" applyBorder="1" applyNumberFormat="1">
      <alignment horizontal="center" vertical="center" wrapText="1"/>
    </xf>
    <xf numFmtId="0" fontId="23" fillId="0" borderId="35" xfId="385" applyFont="1" applyBorder="1" applyNumberFormat="1">
      <alignment horizontal="center" vertical="center" wrapText="1"/>
    </xf>
    <xf numFmtId="0" fontId="23" fillId="0" borderId="34" xfId="386" applyFont="1" applyBorder="1" applyNumberFormat="1">
      <alignment horizontal="center" vertical="center" wrapText="1"/>
    </xf>
    <xf numFmtId="0" fontId="47" fillId="39" borderId="0" xfId="387" applyFont="1" applyFill="1" applyNumberFormat="1">
      <alignment horizontal="center" vertical="center" wrapText="1"/>
    </xf>
    <xf numFmtId="49" fontId="47" fillId="39" borderId="0" xfId="388" applyFont="1" applyFill="1" applyNumberFormat="1">
      <alignment horizontal="center" vertical="center" wrapText="1"/>
    </xf>
    <xf numFmtId="0" fontId="65" fillId="39" borderId="0" xfId="389" applyFont="1" applyFill="1" applyNumberFormat="1">
      <alignment horizontal="center" vertical="center" wrapText="1"/>
    </xf>
    <xf numFmtId="49" fontId="55" fillId="0" borderId="32" xfId="390" applyFont="1" applyBorder="1" applyNumberFormat="1">
      <alignment horizontal="left" vertical="center" wrapText="1"/>
    </xf>
    <xf numFmtId="49" fontId="55" fillId="0" borderId="23" xfId="391" applyFont="1" applyBorder="1" applyNumberFormat="1">
      <alignment horizontal="left" vertical="center" wrapText="1"/>
    </xf>
    <xf numFmtId="49" fontId="23" fillId="0" borderId="23" xfId="392" applyFont="1" applyBorder="1" applyNumberFormat="1">
      <alignment vertical="top" wrapText="1"/>
    </xf>
    <xf numFmtId="0" fontId="55" fillId="0" borderId="0" xfId="393" applyFont="1" applyNumberFormat="1">
      <alignment vertical="center" wrapText="1"/>
    </xf>
    <xf numFmtId="49" fontId="23" fillId="0" borderId="23" xfId="394" applyFont="1" applyBorder="1" applyNumberFormat="1">
      <alignment horizontal="center" vertical="center" wrapText="1"/>
    </xf>
    <xf numFmtId="0" fontId="27" fillId="40" borderId="21" xfId="395" applyFont="1" applyFill="1" applyBorder="1" applyNumberFormat="1">
      <alignment horizontal="left" vertical="center" wrapText="1"/>
    </xf>
    <xf numFmtId="49" fontId="47" fillId="39" borderId="23" xfId="396" applyFont="1" applyFill="1" applyBorder="1" applyNumberFormat="1">
      <alignment horizontal="center" vertical="center" wrapText="1"/>
    </xf>
    <xf numFmtId="4" fontId="23" fillId="38" borderId="23" xfId="397" applyFont="1" applyFill="1" applyBorder="1" applyNumberFormat="1">
      <alignment horizontal="right" vertical="center" wrapText="1"/>
      <protection locked="0"/>
    </xf>
    <xf numFmtId="3" fontId="23" fillId="38" borderId="23" xfId="398" applyFont="1" applyFill="1" applyBorder="1" applyNumberFormat="1">
      <alignment horizontal="right" vertical="center" wrapText="1"/>
      <protection locked="0"/>
    </xf>
    <xf numFmtId="4" fontId="23" fillId="38" borderId="20" xfId="399" applyFont="1" applyFill="1" applyBorder="1" applyNumberFormat="1">
      <alignment horizontal="right" vertical="center" wrapText="1"/>
      <protection locked="0"/>
    </xf>
    <xf numFmtId="0" fontId="23" fillId="35" borderId="23" xfId="400" applyFont="1" applyFill="1" applyBorder="1" applyNumberFormat="1">
      <alignment horizontal="right" vertical="center" wrapText="1"/>
      <protection locked="0"/>
    </xf>
    <xf numFmtId="3" fontId="23" fillId="0" borderId="20" xfId="401" applyFont="1" applyBorder="1" applyNumberFormat="1">
      <alignment horizontal="right" vertical="center" wrapText="1"/>
    </xf>
    <xf numFmtId="0" fontId="23" fillId="0" borderId="32" xfId="402" applyFont="1" applyBorder="1" applyNumberFormat="1">
      <alignment horizontal="left" vertical="top" wrapText="1"/>
    </xf>
    <xf numFmtId="49" fontId="31" fillId="41" borderId="21" xfId="403" applyFont="1" applyFill="1" applyBorder="1" applyNumberFormat="1">
      <alignment horizontal="center" vertical="center"/>
    </xf>
    <xf numFmtId="0" fontId="48" fillId="41" borderId="25" xfId="404" applyFont="1" applyFill="1" applyBorder="1" applyNumberFormat="1">
      <alignment vertical="center"/>
    </xf>
    <xf numFmtId="49" fontId="48" fillId="41" borderId="25" xfId="405" applyFont="1" applyFill="1" applyBorder="1" applyNumberFormat="1">
      <alignment vertical="center"/>
    </xf>
    <xf numFmtId="49" fontId="57" fillId="41" borderId="25" xfId="406" applyFont="1" applyFill="1" applyBorder="1" applyNumberFormat="1">
      <alignment vertical="center"/>
    </xf>
    <xf numFmtId="49" fontId="57" fillId="41" borderId="20" xfId="407" applyFont="1" applyFill="1" applyBorder="1" applyNumberFormat="1">
      <alignment vertical="center"/>
    </xf>
    <xf numFmtId="0" fontId="23" fillId="0" borderId="30" xfId="408" applyFont="1" applyBorder="1" applyNumberFormat="1">
      <alignment horizontal="left" vertical="top" wrapText="1"/>
    </xf>
    <xf numFmtId="49" fontId="23" fillId="0" borderId="33" xfId="409" applyFont="1" applyBorder="1" applyNumberFormat="1">
      <alignment horizontal="center" vertical="center" wrapText="1"/>
    </xf>
    <xf numFmtId="0" fontId="27" fillId="40" borderId="26" xfId="410" applyFont="1" applyFill="1" applyBorder="1" applyNumberFormat="1">
      <alignment horizontal="left" vertical="center" wrapText="1"/>
    </xf>
    <xf numFmtId="0" fontId="50" fillId="39" borderId="23" xfId="411" applyFont="1" applyFill="1" applyBorder="1" applyNumberFormat="1">
      <alignment horizontal="center" vertical="center" wrapText="1"/>
    </xf>
    <xf numFmtId="49" fontId="27" fillId="38" borderId="23" xfId="412" applyFont="1" applyFill="1" applyBorder="1" applyNumberFormat="1">
      <alignment horizontal="left" vertical="center" wrapText="1"/>
      <protection locked="0"/>
    </xf>
    <xf numFmtId="3" fontId="27" fillId="38" borderId="23" xfId="413" applyFont="1" applyFill="1" applyBorder="1" applyNumberFormat="1">
      <alignment horizontal="right" vertical="center" wrapText="1"/>
      <protection locked="0"/>
    </xf>
    <xf numFmtId="49" fontId="23" fillId="0" borderId="35" xfId="414" applyFont="1" applyBorder="1" applyNumberFormat="1">
      <alignment horizontal="center" vertical="center" wrapText="1"/>
    </xf>
    <xf numFmtId="0" fontId="27" fillId="40" borderId="45" xfId="415" applyFont="1" applyFill="1" applyBorder="1" applyNumberFormat="1">
      <alignment horizontal="left" vertical="center" wrapText="1"/>
    </xf>
    <xf numFmtId="0" fontId="27" fillId="0" borderId="26" xfId="416" applyFont="1" applyBorder="1" applyNumberFormat="1">
      <alignment horizontal="left" vertical="top" wrapText="1" indent="1"/>
    </xf>
    <xf numFmtId="0" fontId="29" fillId="39" borderId="0" xfId="417" applyFont="1" applyFill="1" applyNumberFormat="1">
      <alignment horizontal="right" vertical="center"/>
    </xf>
    <xf numFmtId="0" fontId="29" fillId="39" borderId="0" xfId="418" applyFont="1" applyFill="1" applyNumberFormat="1">
      <alignment horizontal="right" vertical="center" wrapText="1"/>
    </xf>
    <xf numFmtId="49" fontId="47" fillId="39" borderId="25" xfId="419" applyFont="1" applyFill="1" applyBorder="1" applyNumberFormat="1">
      <alignment horizontal="center" vertical="center" wrapText="1"/>
    </xf>
    <xf numFmtId="49" fontId="27" fillId="0" borderId="23" xfId="420" applyFont="1" applyBorder="1" applyNumberFormat="1">
      <alignment horizontal="left" vertical="center" wrapText="1"/>
    </xf>
    <xf numFmtId="0" fontId="50" fillId="39" borderId="29" xfId="421" applyFont="1" applyFill="1" applyBorder="1" applyNumberFormat="1">
      <alignment vertical="top" wrapText="1"/>
    </xf>
    <xf numFmtId="14" fontId="27" fillId="41" borderId="25" xfId="422" applyFont="1" applyFill="1" applyBorder="1" applyNumberFormat="1">
      <alignment horizontal="center" vertical="center" wrapText="1"/>
    </xf>
    <xf numFmtId="14" fontId="54" fillId="41" borderId="25" xfId="423" applyFont="1" applyFill="1" applyBorder="1" applyNumberFormat="1">
      <alignment horizontal="center" vertical="center" wrapText="1"/>
    </xf>
    <xf numFmtId="49" fontId="36" fillId="41" borderId="20" xfId="424" applyFont="1" applyFill="1" applyBorder="1" applyNumberFormat="1">
      <alignment horizontal="left" vertical="center" wrapText="1"/>
    </xf>
    <xf numFmtId="0" fontId="23" fillId="0" borderId="42" xfId="425" applyFont="1" applyBorder="1" applyNumberFormat="1">
      <alignment horizontal="left" vertical="top" wrapText="1"/>
    </xf>
    <xf numFmtId="0" fontId="50" fillId="39" borderId="0" xfId="426" applyFont="1" applyFill="1" applyNumberFormat="1">
      <alignment vertical="top" wrapText="1"/>
    </xf>
    <xf numFmtId="0" fontId="44" fillId="39" borderId="30" xfId="427" applyFont="1" applyFill="1" applyBorder="1" applyNumberFormat="1">
      <alignment horizontal="center" vertical="center" wrapText="1"/>
    </xf>
    <xf numFmtId="14" fontId="27" fillId="40" borderId="30" xfId="428" applyFont="1" applyFill="1" applyBorder="1" applyNumberFormat="1">
      <alignment horizontal="left" vertical="center" wrapText="1"/>
    </xf>
    <xf numFmtId="14" fontId="27" fillId="40" borderId="23" xfId="429" applyFont="1" applyFill="1" applyBorder="1" applyNumberFormat="1">
      <alignment horizontal="center" vertical="center" wrapText="1"/>
    </xf>
    <xf numFmtId="49" fontId="36" fillId="38" borderId="23" xfId="430" applyFont="1" applyFill="1" applyBorder="1" applyNumberFormat="1">
      <alignment horizontal="left" vertical="center" wrapText="1"/>
      <protection locked="0"/>
    </xf>
    <xf numFmtId="0" fontId="44" fillId="0" borderId="0" xfId="431" applyFont="1" applyNumberFormat="1">
      <alignment horizontal="left" vertical="center" wrapText="1"/>
    </xf>
    <xf numFmtId="49" fontId="44" fillId="0" borderId="0" xfId="432" applyFont="1" applyNumberFormat="1">
      <alignment horizontal="left" vertical="center" wrapText="1"/>
    </xf>
    <xf numFmtId="49" fontId="31" fillId="41" borderId="25" xfId="433" applyFont="1" applyFill="1" applyBorder="1" applyNumberFormat="1">
      <alignment horizontal="center" vertical="center"/>
    </xf>
    <xf numFmtId="49" fontId="57" fillId="41" borderId="25" xfId="434" applyFont="1" applyFill="1" applyBorder="1" applyNumberFormat="1">
      <alignment horizontal="left" vertical="center" indent="1"/>
    </xf>
    <xf numFmtId="49" fontId="57" fillId="41" borderId="20" xfId="435" applyFont="1" applyFill="1" applyBorder="1" applyNumberFormat="1">
      <alignment horizontal="left" vertical="center" indent="1"/>
    </xf>
    <xf numFmtId="0" fontId="49" fillId="0" borderId="0" xfId="436" applyFont="1" applyNumberFormat="1">
      <alignment vertical="top"/>
    </xf>
    <xf numFmtId="0" fontId="37" fillId="0" borderId="23" xfId="814" applyFont="1" applyBorder="1" applyNumberFormat="1">
      <alignment horizontal="center" vertical="center"/>
    </xf>
    <xf numFmtId="49" fontId="27" fillId="0" borderId="29" xfId="815" applyFont="1" applyBorder="1" applyNumberFormat="1">
      <alignment vertical="top"/>
    </xf>
    <xf numFmtId="0" fontId="27" fillId="39" borderId="23" xfId="816" applyFont="1" applyFill="1" applyBorder="1" applyNumberFormat="1">
      <alignment horizontal="left" vertical="center" wrapText="1"/>
    </xf>
    <xf numFmtId="0" fontId="27" fillId="0" borderId="23" xfId="710" applyFont="1" applyBorder="1" applyNumberFormat="1">
      <alignment vertical="center" wrapText="1"/>
    </xf>
    <xf numFmtId="0" fontId="27" fillId="0" borderId="23" xfId="817" applyFont="1" applyBorder="1" applyNumberFormat="1">
      <alignment horizontal="left" vertical="center" wrapText="1" indent="6"/>
    </xf>
    <xf numFmtId="0" fontId="27" fillId="37" borderId="21" xfId="818" applyFont="1" applyFill="1" applyBorder="1" applyNumberFormat="1">
      <alignment horizontal="left" vertical="center" wrapText="1"/>
    </xf>
    <xf numFmtId="0" fontId="27" fillId="37" borderId="25" xfId="819" applyFont="1" applyFill="1" applyBorder="1" applyNumberFormat="1">
      <alignment horizontal="left" vertical="center" wrapText="1"/>
    </xf>
    <xf numFmtId="0" fontId="27" fillId="37" borderId="20" xfId="820" applyFont="1" applyFill="1" applyBorder="1" applyNumberFormat="1">
      <alignment horizontal="left" vertical="center" wrapText="1"/>
    </xf>
    <xf numFmtId="0" fontId="49" fillId="0" borderId="23" xfId="821" applyFont="1" applyBorder="1" applyNumberFormat="1">
      <alignment vertical="top" wrapText="1"/>
    </xf>
    <xf numFmtId="0" fontId="37" fillId="0" borderId="21" xfId="822" applyFont="1" applyBorder="1" applyNumberFormat="1">
      <alignment horizontal="center" vertical="center"/>
    </xf>
    <xf numFmtId="0" fontId="46" fillId="39" borderId="0" xfId="823" applyFont="1" applyFill="1" applyNumberFormat="1">
      <alignment horizontal="center" vertical="center" wrapText="1"/>
    </xf>
    <xf numFmtId="0" fontId="27" fillId="0" borderId="29" xfId="824" applyFont="1" applyBorder="1" applyNumberFormat="1">
      <alignment vertical="center" wrapText="1"/>
    </xf>
    <xf numFmtId="0" fontId="27" fillId="39" borderId="23" xfId="825" applyFont="1" applyFill="1" applyBorder="1" applyNumberFormat="1">
      <alignment horizontal="left" vertical="center" wrapText="1" indent="1"/>
    </xf>
    <xf numFmtId="0" fontId="27" fillId="39" borderId="23" xfId="826" applyFont="1" applyFill="1" applyBorder="1" applyNumberFormat="1">
      <alignment horizontal="left" vertical="center" wrapText="1" indent="2"/>
    </xf>
    <xf numFmtId="0" fontId="27" fillId="39" borderId="23" xfId="827" applyFont="1" applyFill="1" applyBorder="1" applyNumberFormat="1">
      <alignment horizontal="left" vertical="center" wrapText="1" indent="3"/>
    </xf>
    <xf numFmtId="0" fontId="37" fillId="0" borderId="23" xfId="554" applyFont="1" applyBorder="1" applyNumberFormat="1">
      <alignment horizontal="center" vertical="center" wrapText="1"/>
    </xf>
    <xf numFmtId="0" fontId="37" fillId="0" borderId="0" xfId="828" applyFont="1" applyNumberFormat="1">
      <alignment horizontal="center" vertical="center"/>
    </xf>
    <xf numFmtId="0" fontId="44" fillId="0" borderId="29" xfId="829" applyFont="1" applyBorder="1" applyNumberFormat="1">
      <alignment horizontal="center" vertical="center" wrapText="1"/>
    </xf>
    <xf numFmtId="0" fontId="27" fillId="39" borderId="23" xfId="830" applyFont="1" applyFill="1" applyBorder="1" applyNumberFormat="1">
      <alignment horizontal="left" vertical="center" wrapText="1" indent="4"/>
    </xf>
    <xf numFmtId="0" fontId="27" fillId="40" borderId="25" xfId="831" applyFont="1" applyFill="1" applyBorder="1" applyNumberFormat="1">
      <alignment horizontal="left" vertical="center" wrapText="1"/>
    </xf>
    <xf numFmtId="0" fontId="27" fillId="40" borderId="20" xfId="832" applyFont="1" applyFill="1" applyBorder="1" applyNumberFormat="1">
      <alignment horizontal="left" vertical="center" wrapText="1"/>
    </xf>
    <xf numFmtId="0" fontId="37" fillId="0" borderId="21" xfId="833" applyFont="1" applyBorder="1" applyNumberFormat="1">
      <alignment horizontal="center" vertical="center" wrapText="1"/>
    </xf>
    <xf numFmtId="0" fontId="44" fillId="0" borderId="29" xfId="834" applyFont="1" applyBorder="1" applyNumberFormat="1">
      <alignment vertical="center" wrapText="1"/>
    </xf>
    <xf numFmtId="0" fontId="27" fillId="39" borderId="23" xfId="835" applyFont="1" applyFill="1" applyBorder="1" applyNumberFormat="1">
      <alignment horizontal="left" vertical="center" wrapText="1" indent="5"/>
    </xf>
    <xf numFmtId="0" fontId="27" fillId="40" borderId="23" xfId="836" applyFont="1" applyFill="1" applyBorder="1" applyNumberFormat="1">
      <alignment horizontal="left" vertical="center" wrapText="1" indent="6"/>
    </xf>
    <xf numFmtId="4" fontId="27" fillId="35" borderId="23" xfId="837" applyFont="1" applyFill="1" applyBorder="1" applyNumberFormat="1">
      <alignment horizontal="right" vertical="center" wrapText="1"/>
      <protection locked="0"/>
    </xf>
    <xf numFmtId="4" fontId="27" fillId="0" borderId="23" xfId="838" applyFont="1" applyBorder="1" applyNumberFormat="1">
      <alignment horizontal="right" vertical="center" wrapText="1"/>
    </xf>
    <xf numFmtId="436" fontId="27" fillId="35" borderId="23" xfId="839" applyFont="1" applyFill="1" applyBorder="1" applyNumberFormat="1">
      <alignment horizontal="right" vertical="center" wrapText="1"/>
      <protection locked="0"/>
    </xf>
    <xf numFmtId="438" fontId="23" fillId="38" borderId="23" xfId="571" applyFont="1" applyFill="1" applyBorder="1" applyNumberFormat="1">
      <alignment horizontal="center" vertical="center" wrapText="1"/>
      <protection locked="0"/>
    </xf>
    <xf numFmtId="0" fontId="49" fillId="0" borderId="32" xfId="840" applyFont="1" applyBorder="1" applyNumberFormat="1">
      <alignment horizontal="left" vertical="top" wrapText="1"/>
    </xf>
    <xf numFmtId="4" fontId="44" fillId="0" borderId="23" xfId="841" applyFont="1" applyBorder="1" applyNumberFormat="1">
      <alignment horizontal="center" vertical="center" wrapText="1"/>
    </xf>
    <xf numFmtId="49" fontId="23" fillId="38" borderId="23" xfId="572" applyFont="1" applyFill="1" applyBorder="1" applyNumberFormat="1">
      <alignment horizontal="center" vertical="center" wrapText="1"/>
      <protection locked="0"/>
    </xf>
    <xf numFmtId="0" fontId="49" fillId="0" borderId="42" xfId="842" applyFont="1" applyBorder="1" applyNumberFormat="1">
      <alignment horizontal="left" vertical="top" wrapText="1"/>
    </xf>
    <xf numFmtId="49" fontId="57" fillId="41" borderId="21" xfId="843" applyFont="1" applyFill="1" applyBorder="1" applyNumberFormat="1">
      <alignment horizontal="left" vertical="center"/>
    </xf>
    <xf numFmtId="49" fontId="48" fillId="41" borderId="25" xfId="844" applyFont="1" applyFill="1" applyBorder="1" applyNumberFormat="1">
      <alignment horizontal="left" vertical="center" indent="6"/>
    </xf>
    <xf numFmtId="49" fontId="27" fillId="41" borderId="20" xfId="845" applyFont="1" applyFill="1" applyBorder="1" applyNumberFormat="1">
      <alignment horizontal="center" vertical="center" wrapText="1"/>
    </xf>
    <xf numFmtId="0" fontId="49" fillId="0" borderId="30" xfId="846" applyFont="1" applyBorder="1" applyNumberFormat="1">
      <alignment horizontal="left" vertical="top" wrapText="1"/>
    </xf>
    <xf numFmtId="49" fontId="48" fillId="41" borderId="25" xfId="847" applyFont="1" applyFill="1" applyBorder="1" applyNumberFormat="1">
      <alignment horizontal="left" vertical="center" indent="5"/>
    </xf>
    <xf numFmtId="49" fontId="23" fillId="41" borderId="25" xfId="848" applyFont="1" applyFill="1" applyBorder="1" applyNumberFormat="1">
      <alignment horizontal="center" vertical="center" wrapText="1"/>
    </xf>
    <xf numFmtId="49" fontId="23" fillId="41" borderId="20" xfId="849" applyFont="1" applyFill="1" applyBorder="1" applyNumberFormat="1">
      <alignment horizontal="center" vertical="center" wrapText="1"/>
    </xf>
    <xf numFmtId="49" fontId="48" fillId="41" borderId="25" xfId="850" applyFont="1" applyFill="1" applyBorder="1" applyNumberFormat="1">
      <alignment horizontal="left" vertical="center" indent="4"/>
    </xf>
    <xf numFmtId="49" fontId="80" fillId="0" borderId="26" xfId="851" applyFont="1" applyBorder="1" applyNumberFormat="1">
      <alignment horizontal="left" vertical="center"/>
    </xf>
    <xf numFmtId="49" fontId="44" fillId="0" borderId="26" xfId="852" applyFont="1" applyBorder="1" applyNumberFormat="1">
      <alignment horizontal="left" vertical="center" indent="3"/>
    </xf>
    <xf numFmtId="49" fontId="44" fillId="0" borderId="26" xfId="853" applyFont="1" applyBorder="1" applyNumberFormat="1">
      <alignment horizontal="center" vertical="center" wrapText="1"/>
    </xf>
    <xf numFmtId="49" fontId="44" fillId="0" borderId="0" xfId="854" applyFont="1" applyNumberFormat="1">
      <alignment horizontal="left" vertical="center" indent="2"/>
    </xf>
    <xf numFmtId="49" fontId="44" fillId="0" borderId="0" xfId="855" applyFont="1" applyNumberFormat="1">
      <alignment horizontal="left" vertical="center" indent="1"/>
    </xf>
    <xf numFmtId="4" fontId="37" fillId="0" borderId="23" xfId="718" applyFont="1" applyBorder="1" applyNumberFormat="1">
      <alignment horizontal="right" vertical="center" wrapText="1"/>
    </xf>
    <xf numFmtId="436" fontId="37" fillId="0" borderId="23" xfId="856" applyFont="1" applyBorder="1" applyNumberFormat="1">
      <alignment horizontal="right" vertical="center" wrapText="1"/>
    </xf>
    <xf numFmtId="438" fontId="37" fillId="0" borderId="23" xfId="857" applyFont="1" applyBorder="1" applyNumberFormat="1">
      <alignment horizontal="center" vertical="center" wrapText="1"/>
    </xf>
    <xf numFmtId="49" fontId="37" fillId="0" borderId="23" xfId="615" applyFont="1" applyBorder="1" applyNumberFormat="1">
      <alignment horizontal="center" vertical="center" wrapText="1"/>
    </xf>
    <xf numFmtId="49" fontId="37" fillId="0" borderId="23" xfId="858" applyFont="1" applyBorder="1" applyNumberFormat="1">
      <alignment vertical="center" wrapText="1"/>
    </xf>
    <xf numFmtId="0" fontId="70" fillId="39" borderId="0" xfId="573" applyFont="1" applyFill="1" applyNumberFormat="1">
      <alignment vertical="center" wrapText="1"/>
    </xf>
    <xf numFmtId="0" fontId="27" fillId="39" borderId="0" xfId="859" applyFont="1" applyFill="1" applyNumberFormat="1">
      <alignment horizontal="left" vertical="center" wrapText="1"/>
    </xf>
    <xf numFmtId="0" fontId="31" fillId="39" borderId="0" xfId="792" applyFont="1" applyFill="1" applyNumberFormat="1">
      <alignment horizontal="center" vertical="center" wrapText="1"/>
    </xf>
    <xf numFmtId="0" fontId="23" fillId="39" borderId="23" xfId="860" applyFont="1" applyFill="1" applyBorder="1" applyNumberFormat="1">
      <alignment horizontal="right" vertical="center" wrapText="1" indent="1"/>
    </xf>
    <xf numFmtId="0" fontId="23" fillId="0" borderId="25" xfId="861" applyFont="1" applyBorder="1" applyNumberFormat="1">
      <alignment vertical="center"/>
    </xf>
    <xf numFmtId="0" fontId="27" fillId="37" borderId="23" xfId="795" applyFont="1" applyFill="1" applyBorder="1" applyNumberFormat="1">
      <alignment horizontal="left" vertical="center" wrapText="1" indent="1"/>
    </xf>
    <xf numFmtId="438" fontId="27" fillId="37" borderId="23" xfId="794" applyFont="1" applyFill="1" applyBorder="1" applyNumberFormat="1">
      <alignment horizontal="left" vertical="center" wrapText="1" indent="1"/>
    </xf>
    <xf numFmtId="0" fontId="27" fillId="39" borderId="45" xfId="862" applyFont="1" applyFill="1" applyBorder="1" applyNumberFormat="1">
      <alignment vertical="center" wrapText="1"/>
    </xf>
    <xf numFmtId="0" fontId="50" fillId="0" borderId="45" xfId="863" applyFont="1" applyBorder="1" applyNumberFormat="1">
      <alignment horizontal="center" vertical="center" wrapText="1"/>
    </xf>
    <xf numFmtId="0" fontId="27" fillId="0" borderId="32" xfId="773" applyFont="1" applyBorder="1" applyNumberFormat="1">
      <alignment vertical="center" wrapText="1"/>
    </xf>
    <xf numFmtId="0" fontId="23" fillId="39" borderId="21" xfId="864" applyFont="1" applyFill="1" applyBorder="1" applyNumberFormat="1">
      <alignment horizontal="center" vertical="center" wrapText="1"/>
    </xf>
    <xf numFmtId="0" fontId="23" fillId="39" borderId="25" xfId="865" applyFont="1" applyFill="1" applyBorder="1" applyNumberFormat="1">
      <alignment horizontal="center" vertical="center" wrapText="1"/>
    </xf>
    <xf numFmtId="0" fontId="23" fillId="39" borderId="20" xfId="866" applyFont="1" applyFill="1" applyBorder="1" applyNumberFormat="1">
      <alignment horizontal="center" vertical="center" wrapText="1"/>
    </xf>
    <xf numFmtId="0" fontId="27" fillId="39" borderId="32" xfId="796" applyFont="1" applyFill="1" applyBorder="1" applyNumberFormat="1">
      <alignment horizontal="center" vertical="center" wrapText="1"/>
    </xf>
    <xf numFmtId="49" fontId="48" fillId="41" borderId="32" xfId="867" applyFont="1" applyFill="1" applyBorder="1" applyNumberFormat="1">
      <alignment horizontal="center" vertical="center" textRotation="90" wrapText="1"/>
    </xf>
    <xf numFmtId="0" fontId="27" fillId="0" borderId="42" xfId="783" applyFont="1" applyBorder="1" applyNumberFormat="1">
      <alignment vertical="center" wrapText="1"/>
    </xf>
    <xf numFmtId="0" fontId="37" fillId="0" borderId="32" xfId="868" applyFont="1" applyBorder="1" applyNumberFormat="1">
      <alignment horizontal="center" vertical="center" wrapText="1"/>
    </xf>
    <xf numFmtId="0" fontId="27" fillId="39" borderId="42" xfId="869" applyFont="1" applyFill="1" applyBorder="1" applyNumberFormat="1">
      <alignment horizontal="center" vertical="center" wrapText="1"/>
    </xf>
    <xf numFmtId="49" fontId="48" fillId="41" borderId="42" xfId="870" applyFont="1" applyFill="1" applyBorder="1" applyNumberFormat="1">
      <alignment horizontal="center" vertical="center" textRotation="90" wrapText="1"/>
    </xf>
    <xf numFmtId="0" fontId="27" fillId="0" borderId="30" xfId="871" applyFont="1" applyBorder="1" applyNumberFormat="1">
      <alignment vertical="center" wrapText="1"/>
    </xf>
    <xf numFmtId="0" fontId="37" fillId="0" borderId="30" xfId="553" applyFont="1" applyBorder="1" applyNumberFormat="1">
      <alignment horizontal="center" vertical="center" wrapText="1"/>
    </xf>
    <xf numFmtId="0" fontId="27" fillId="39" borderId="30" xfId="799" applyFont="1" applyFill="1" applyBorder="1" applyNumberFormat="1">
      <alignment horizontal="center" vertical="center" wrapText="1"/>
    </xf>
    <xf numFmtId="49" fontId="48" fillId="41" borderId="30" xfId="872" applyFont="1" applyFill="1" applyBorder="1" applyNumberFormat="1">
      <alignment horizontal="center" vertical="center" textRotation="90" wrapText="1"/>
    </xf>
    <xf numFmtId="0" fontId="81" fillId="39" borderId="0" xfId="873" applyFont="1" applyFill="1" applyNumberFormat="1">
      <alignment vertical="center" wrapText="1"/>
    </xf>
    <xf numFmtId="0" fontId="82" fillId="39" borderId="0" xfId="874" applyFont="1" applyFill="1" applyNumberFormat="1">
      <alignment vertical="center" wrapText="1"/>
    </xf>
    <xf numFmtId="49" fontId="65" fillId="39" borderId="26" xfId="875" applyFont="1" applyFill="1" applyBorder="1" applyNumberFormat="1">
      <alignment horizontal="left" vertical="center" wrapText="1"/>
    </xf>
    <xf numFmtId="49" fontId="65" fillId="39" borderId="26" xfId="876" applyFont="1" applyFill="1" applyBorder="1" applyNumberFormat="1">
      <alignment horizontal="center" vertical="center" wrapText="1"/>
    </xf>
    <xf numFmtId="0" fontId="44" fillId="39" borderId="26" xfId="877" applyFont="1" applyFill="1" applyBorder="1" applyNumberFormat="1">
      <alignment horizontal="center" vertical="center" wrapText="1"/>
    </xf>
    <xf numFmtId="0" fontId="65" fillId="39" borderId="26" xfId="878" applyFont="1" applyFill="1" applyBorder="1" applyNumberFormat="1">
      <alignment horizontal="center" vertical="center" wrapText="1"/>
    </xf>
    <xf numFmtId="0" fontId="37" fillId="0" borderId="0" xfId="879" applyFont="1" applyNumberFormat="1">
      <alignment horizontal="left" vertical="center" indent="1"/>
    </xf>
    <xf numFmtId="438" fontId="23" fillId="38" borderId="32" xfId="880" applyFont="1" applyFill="1" applyBorder="1" applyNumberFormat="1">
      <alignment horizontal="center" vertical="center" wrapText="1"/>
      <protection locked="0"/>
    </xf>
    <xf numFmtId="4" fontId="27" fillId="0" borderId="32" xfId="881" applyFont="1" applyBorder="1" applyNumberFormat="1">
      <alignment horizontal="right" vertical="center" wrapText="1"/>
    </xf>
    <xf numFmtId="49" fontId="23" fillId="38" borderId="30" xfId="882" applyFont="1" applyFill="1" applyBorder="1" applyNumberFormat="1">
      <alignment horizontal="center" vertical="center" wrapText="1"/>
      <protection locked="0"/>
    </xf>
    <xf numFmtId="4" fontId="27" fillId="0" borderId="30" xfId="883" applyFont="1" applyBorder="1" applyNumberFormat="1">
      <alignment horizontal="right" vertical="center" wrapText="1"/>
    </xf>
    <xf numFmtId="49" fontId="27" fillId="0" borderId="0" xfId="781" applyFont="1" applyNumberFormat="1">
      <alignment vertical="center" wrapText="1"/>
    </xf>
    <xf numFmtId="0" fontId="70" fillId="0" borderId="0" xfId="782" applyFont="1" applyNumberFormat="1">
      <alignment vertical="center" wrapText="1"/>
    </xf>
    <xf numFmtId="0" fontId="27" fillId="0" borderId="23" xfId="913" applyFont="1" applyBorder="1" applyNumberFormat="1">
      <alignment horizontal="center" vertical="center"/>
    </xf>
    <xf numFmtId="0" fontId="27" fillId="0" borderId="21" xfId="914" applyFont="1" applyBorder="1" applyNumberFormat="1">
      <alignment horizontal="center" vertical="center"/>
    </xf>
    <xf numFmtId="0" fontId="27" fillId="0" borderId="0" xfId="915" applyFont="1" applyNumberFormat="1">
      <alignment horizontal="center" vertical="center"/>
    </xf>
    <xf numFmtId="49" fontId="27" fillId="0" borderId="23" xfId="928" applyFont="1" applyBorder="1" applyNumberFormat="1">
      <alignment vertical="center" wrapText="1"/>
    </xf>
    <xf numFmtId="0" fontId="55" fillId="0" borderId="0" xfId="931" applyFont="1" applyNumberFormat="1">
      <alignment horizontal="left" vertical="center" indent="1"/>
    </xf>
    <xf numFmtId="436" fontId="27" fillId="0" borderId="23" xfId="884" applyFont="1" applyBorder="1" applyNumberFormat="1">
      <alignment horizontal="right" vertical="center" wrapText="1"/>
    </xf>
    <xf numFmtId="0" fontId="23" fillId="39" borderId="26" xfId="885" applyFont="1" applyFill="1" applyBorder="1" applyNumberFormat="1">
      <alignment horizontal="center" vertical="center" wrapText="1"/>
    </xf>
    <xf numFmtId="0" fontId="44" fillId="0" borderId="32" xfId="886" applyFont="1" applyBorder="1" applyNumberFormat="1">
      <alignment horizontal="center" vertical="center" wrapText="1"/>
    </xf>
    <xf numFmtId="0" fontId="44" fillId="0" borderId="23" xfId="887" applyFont="1" applyBorder="1" applyNumberFormat="1">
      <alignment horizontal="left" vertical="center" wrapText="1" indent="4"/>
    </xf>
    <xf numFmtId="0" fontId="44" fillId="0" borderId="23" xfId="888" applyFont="1" applyBorder="1" applyNumberFormat="1">
      <alignment horizontal="left" vertical="center" wrapText="1" indent="6"/>
    </xf>
    <xf numFmtId="0" fontId="44" fillId="0" borderId="21" xfId="889" applyFont="1" applyBorder="1" applyNumberFormat="1">
      <alignment horizontal="left" vertical="center" wrapText="1"/>
    </xf>
    <xf numFmtId="0" fontId="44" fillId="0" borderId="25" xfId="890" applyFont="1" applyBorder="1" applyNumberFormat="1">
      <alignment horizontal="left" vertical="center" wrapText="1"/>
    </xf>
    <xf numFmtId="0" fontId="44" fillId="0" borderId="20" xfId="891" applyFont="1" applyBorder="1" applyNumberFormat="1">
      <alignment horizontal="left" vertical="center" wrapText="1"/>
    </xf>
    <xf numFmtId="0" fontId="44" fillId="0" borderId="23" xfId="892" applyFont="1" applyBorder="1" applyNumberFormat="1">
      <alignment vertical="top" wrapText="1"/>
    </xf>
    <xf numFmtId="49" fontId="80" fillId="0" borderId="21" xfId="893" applyFont="1" applyBorder="1" applyNumberFormat="1">
      <alignment horizontal="left" vertical="center"/>
    </xf>
    <xf numFmtId="49" fontId="44" fillId="0" borderId="25" xfId="894" applyFont="1" applyBorder="1" applyNumberFormat="1">
      <alignment horizontal="left" vertical="center" indent="4"/>
    </xf>
    <xf numFmtId="49" fontId="44" fillId="0" borderId="25" xfId="895" applyFont="1" applyBorder="1" applyNumberFormat="1">
      <alignment horizontal="center" vertical="center" wrapText="1"/>
    </xf>
    <xf numFmtId="49" fontId="44" fillId="0" borderId="20" xfId="896" applyFont="1" applyBorder="1" applyNumberFormat="1">
      <alignment horizontal="center" vertical="center" wrapText="1"/>
    </xf>
    <xf numFmtId="0" fontId="44" fillId="0" borderId="0" xfId="897" applyFont="1" applyNumberFormat="1">
      <alignment horizontal="center" vertical="center"/>
    </xf>
    <xf numFmtId="0" fontId="27" fillId="39" borderId="32" xfId="898" applyFont="1" applyFill="1" applyBorder="1" applyNumberFormat="1">
      <alignment horizontal="left" vertical="center" wrapText="1"/>
    </xf>
    <xf numFmtId="0" fontId="27" fillId="39" borderId="32" xfId="899" applyFont="1" applyFill="1" applyBorder="1" applyNumberFormat="1">
      <alignment horizontal="left" vertical="center" wrapText="1" indent="2"/>
    </xf>
    <xf numFmtId="0" fontId="27" fillId="0" borderId="32" xfId="900" applyFont="1" applyBorder="1" applyNumberFormat="1">
      <alignment horizontal="left" vertical="center" wrapText="1" indent="6"/>
    </xf>
    <xf numFmtId="0" fontId="27" fillId="37" borderId="33" xfId="901" applyFont="1" applyFill="1" applyBorder="1" applyNumberFormat="1">
      <alignment horizontal="left" vertical="center" wrapText="1"/>
    </xf>
    <xf numFmtId="0" fontId="27" fillId="37" borderId="26" xfId="902" applyFont="1" applyFill="1" applyBorder="1" applyNumberFormat="1">
      <alignment horizontal="left" vertical="center" wrapText="1"/>
    </xf>
    <xf numFmtId="0" fontId="27" fillId="37" borderId="27" xfId="903" applyFont="1" applyFill="1" applyBorder="1" applyNumberFormat="1">
      <alignment horizontal="left" vertical="center" wrapText="1"/>
    </xf>
    <xf numFmtId="0" fontId="27" fillId="37" borderId="23" xfId="904" applyFont="1" applyFill="1" applyBorder="1" applyNumberFormat="1">
      <alignment horizontal="left" vertical="center" wrapText="1"/>
    </xf>
    <xf numFmtId="0" fontId="49" fillId="0" borderId="20" xfId="905" applyFont="1" applyBorder="1" applyNumberFormat="1">
      <alignment vertical="top" wrapText="1"/>
    </xf>
    <xf numFmtId="0" fontId="44" fillId="0" borderId="20" xfId="906" applyFont="1" applyBorder="1" applyNumberFormat="1">
      <alignment vertical="top" wrapText="1"/>
    </xf>
    <xf numFmtId="0" fontId="27" fillId="40" borderId="23" xfId="787" applyFont="1" applyFill="1" applyBorder="1" applyNumberFormat="1">
      <alignment horizontal="left" vertical="center" wrapText="1"/>
    </xf>
    <xf numFmtId="0" fontId="27" fillId="39" borderId="30" xfId="907" applyFont="1" applyFill="1" applyBorder="1" applyNumberFormat="1">
      <alignment horizontal="left" vertical="center" wrapText="1"/>
    </xf>
    <xf numFmtId="0" fontId="27" fillId="40" borderId="30" xfId="908" applyFont="1" applyFill="1" applyBorder="1" applyNumberFormat="1">
      <alignment horizontal="left" vertical="center" wrapText="1" indent="6"/>
    </xf>
    <xf numFmtId="0" fontId="27" fillId="0" borderId="30" xfId="909" applyFont="1" applyBorder="1" applyNumberFormat="1">
      <alignment horizontal="left" vertical="center" wrapText="1" indent="6"/>
    </xf>
    <xf numFmtId="4" fontId="27" fillId="35" borderId="30" xfId="910" applyFont="1" applyFill="1" applyBorder="1" applyNumberFormat="1">
      <alignment horizontal="right" vertical="center" wrapText="1"/>
      <protection locked="0"/>
    </xf>
    <xf numFmtId="436" fontId="27" fillId="35" borderId="30" xfId="911" applyFont="1" applyFill="1" applyBorder="1" applyNumberFormat="1">
      <alignment horizontal="right" vertical="center" wrapText="1"/>
      <protection locked="0"/>
    </xf>
    <xf numFmtId="438" fontId="23" fillId="38" borderId="30" xfId="912" applyFont="1" applyFill="1" applyBorder="1" applyNumberFormat="1">
      <alignment horizontal="center" vertical="center" wrapText="1"/>
      <protection locked="0"/>
    </xf>
    <xf numFmtId="0" fontId="27" fillId="40" borderId="27" xfId="916" applyFont="1" applyFill="1" applyBorder="1" applyNumberFormat="1">
      <alignment horizontal="left" vertical="center" wrapText="1"/>
    </xf>
    <xf numFmtId="436" fontId="27" fillId="35" borderId="21" xfId="917" applyFont="1" applyFill="1" applyBorder="1" applyNumberFormat="1">
      <alignment horizontal="right" vertical="center" wrapText="1"/>
      <protection locked="0"/>
    </xf>
    <xf numFmtId="4" fontId="27" fillId="35" borderId="20" xfId="918" applyFont="1" applyFill="1" applyBorder="1" applyNumberFormat="1">
      <alignment horizontal="right" vertical="center" wrapText="1"/>
      <protection locked="0"/>
    </xf>
    <xf numFmtId="0" fontId="49" fillId="0" borderId="32" xfId="919" applyFont="1" applyBorder="1" applyNumberFormat="1">
      <alignment vertical="top" wrapText="1"/>
    </xf>
    <xf numFmtId="0" fontId="27" fillId="35" borderId="23" xfId="920" applyFont="1" applyFill="1" applyBorder="1" applyNumberFormat="1">
      <alignment horizontal="left" vertical="center" wrapText="1" indent="7"/>
      <protection locked="0"/>
    </xf>
    <xf numFmtId="4" fontId="44" fillId="0" borderId="21" xfId="921" applyFont="1" applyBorder="1" applyNumberFormat="1">
      <alignment horizontal="center" vertical="center" wrapText="1"/>
    </xf>
    <xf numFmtId="4" fontId="27" fillId="0" borderId="20" xfId="922" applyFont="1" applyBorder="1" applyNumberFormat="1">
      <alignment horizontal="right" vertical="center" wrapText="1"/>
    </xf>
    <xf numFmtId="0" fontId="27" fillId="41" borderId="25" xfId="923" applyFont="1" applyFill="1" applyBorder="1" applyNumberFormat="1">
      <alignment horizontal="left" vertical="center" wrapText="1" indent="6"/>
    </xf>
    <xf numFmtId="4" fontId="27" fillId="41" borderId="25" xfId="924" applyFont="1" applyFill="1" applyBorder="1" applyNumberFormat="1">
      <alignment horizontal="right" vertical="center" wrapText="1"/>
    </xf>
    <xf numFmtId="4" fontId="44" fillId="41" borderId="25" xfId="925" applyFont="1" applyFill="1" applyBorder="1" applyNumberFormat="1">
      <alignment horizontal="center" vertical="center" wrapText="1"/>
    </xf>
    <xf numFmtId="4" fontId="27" fillId="41" borderId="20" xfId="926" applyFont="1" applyFill="1" applyBorder="1" applyNumberFormat="1">
      <alignment horizontal="right" vertical="center" wrapText="1"/>
    </xf>
    <xf numFmtId="49" fontId="27" fillId="41" borderId="45" xfId="927" applyFont="1" applyFill="1" applyBorder="1" applyNumberFormat="1">
      <alignment horizontal="center" vertical="center" wrapText="1"/>
    </xf>
    <xf numFmtId="0" fontId="27" fillId="0" borderId="26" xfId="929" applyFont="1" applyBorder="1" applyNumberFormat="1">
      <alignment horizontal="center" vertical="center" wrapText="1"/>
    </xf>
    <xf numFmtId="0" fontId="27" fillId="0" borderId="45" xfId="930" applyFont="1" applyBorder="1" applyNumberFormat="1">
      <alignment horizontal="center" vertical="center" wrapText="1"/>
    </xf>
    <xf numFmtId="0" fontId="23" fillId="0" borderId="42" xfId="788" applyFont="1" applyBorder="1" applyNumberFormat="1">
      <alignment horizontal="center" vertical="center" wrapText="1"/>
    </xf>
    <xf numFmtId="0" fontId="55" fillId="0" borderId="0" xfId="932" applyFont="1" applyNumberFormat="1">
      <alignment horizontal="center" vertical="center"/>
    </xf>
    <xf numFmtId="0" fontId="45" fillId="39" borderId="0" xfId="933" applyFont="1" applyFill="1" applyNumberFormat="1">
      <alignment horizontal="center" vertical="center" wrapText="1"/>
    </xf>
    <xf numFmtId="0" fontId="44" fillId="0" borderId="23" xfId="934" applyFont="1" applyBorder="1" applyNumberFormat="1">
      <alignment horizontal="left" vertical="center" wrapText="1" indent="5"/>
    </xf>
    <xf numFmtId="0" fontId="44" fillId="0" borderId="29" xfId="935" applyFont="1" applyBorder="1" applyNumberFormat="1">
      <alignment horizontal="center" vertical="top" wrapText="1"/>
    </xf>
    <xf numFmtId="49" fontId="27" fillId="38" borderId="32" xfId="936" applyFont="1" applyFill="1" applyBorder="1" applyNumberFormat="1">
      <alignment horizontal="left" vertical="center" wrapText="1" indent="6"/>
      <protection locked="0"/>
    </xf>
    <xf numFmtId="0" fontId="50" fillId="0" borderId="23" xfId="937" applyFont="1" applyBorder="1" applyNumberFormat="1">
      <alignment horizontal="center" vertical="center" wrapText="1"/>
    </xf>
    <xf numFmtId="0" fontId="27" fillId="0" borderId="23" xfId="938" applyFont="1" applyBorder="1" applyNumberFormat="1">
      <alignment horizontal="left" vertical="center" wrapText="1" indent="4"/>
    </xf>
    <xf numFmtId="0" fontId="27" fillId="39" borderId="42" xfId="939" applyFont="1" applyFill="1" applyBorder="1" applyNumberFormat="1">
      <alignment horizontal="left" vertical="center" wrapText="1"/>
    </xf>
    <xf numFmtId="49" fontId="27" fillId="38" borderId="42" xfId="940" applyFont="1" applyFill="1" applyBorder="1" applyNumberFormat="1">
      <alignment horizontal="left" vertical="center" wrapText="1" indent="6"/>
      <protection locked="0"/>
    </xf>
    <xf numFmtId="436" fontId="27" fillId="41" borderId="20" xfId="941" applyFont="1" applyFill="1" applyBorder="1" applyNumberFormat="1">
      <alignment horizontal="right" vertical="center" wrapText="1"/>
    </xf>
    <xf numFmtId="49" fontId="48" fillId="41" borderId="21" xfId="696" applyFont="1" applyFill="1" applyBorder="1" applyNumberFormat="1">
      <alignment horizontal="left" vertical="center"/>
    </xf>
    <xf numFmtId="436" fontId="27" fillId="41" borderId="25" xfId="942" applyFont="1" applyFill="1" applyBorder="1" applyNumberFormat="1">
      <alignment horizontal="right" vertical="center" wrapText="1"/>
    </xf>
    <xf numFmtId="4" fontId="27" fillId="0" borderId="42" xfId="943" applyFont="1" applyBorder="1" applyNumberFormat="1">
      <alignment horizontal="right" vertical="center" wrapText="1"/>
    </xf>
    <xf numFmtId="49" fontId="48" fillId="41" borderId="21" xfId="944" applyFont="1" applyFill="1" applyBorder="1" applyNumberFormat="1">
      <alignment horizontal="left" vertical="center" indent="1"/>
    </xf>
    <xf numFmtId="49" fontId="27" fillId="38" borderId="30" xfId="945" applyFont="1" applyFill="1" applyBorder="1" applyNumberFormat="1">
      <alignment horizontal="left" vertical="center" wrapText="1" indent="6"/>
      <protection locked="0"/>
    </xf>
    <xf numFmtId="4" fontId="44" fillId="41" borderId="20" xfId="946" applyFont="1" applyFill="1" applyBorder="1" applyNumberFormat="1">
      <alignment horizontal="center" vertical="center" wrapText="1"/>
    </xf>
    <xf numFmtId="49" fontId="48" fillId="41" borderId="21" xfId="947" applyFont="1" applyFill="1" applyBorder="1" applyNumberFormat="1">
      <alignment vertical="center" wrapText="1"/>
    </xf>
    <xf numFmtId="49" fontId="48" fillId="41" borderId="25" xfId="948" applyFont="1" applyFill="1" applyBorder="1" applyNumberFormat="1">
      <alignment vertical="center" wrapText="1"/>
    </xf>
    <xf numFmtId="49" fontId="44" fillId="0" borderId="29" xfId="949" applyFont="1" applyBorder="1" applyNumberFormat="1">
      <alignment vertical="top"/>
    </xf>
    <xf numFmtId="49" fontId="44" fillId="0" borderId="0" xfId="950" applyFont="1" applyNumberFormat="1">
      <alignment horizontal="center" vertical="center" wrapText="1"/>
    </xf>
    <xf numFmtId="0" fontId="44" fillId="0" borderId="29" xfId="951" applyFont="1" applyBorder="1" applyNumberFormat="1">
      <alignment horizontal="left" vertical="center" wrapText="1" indent="1"/>
    </xf>
    <xf numFmtId="4" fontId="44" fillId="0" borderId="23" xfId="700" applyFont="1" applyBorder="1" applyNumberFormat="1">
      <alignment horizontal="right" vertical="center" wrapText="1"/>
    </xf>
    <xf numFmtId="436" fontId="44" fillId="0" borderId="23" xfId="952" applyFont="1" applyBorder="1" applyNumberFormat="1">
      <alignment horizontal="right" vertical="center" wrapText="1"/>
    </xf>
    <xf numFmtId="438" fontId="44" fillId="0" borderId="23" xfId="953" applyFont="1" applyBorder="1" applyNumberFormat="1">
      <alignment horizontal="center" vertical="center" wrapText="1"/>
    </xf>
    <xf numFmtId="49" fontId="44" fillId="0" borderId="23" xfId="741" applyFont="1" applyBorder="1" applyNumberFormat="1">
      <alignment horizontal="center" vertical="center" wrapText="1"/>
    </xf>
    <xf numFmtId="0" fontId="37" fillId="0" borderId="0" xfId="954" applyFont="1" applyNumberFormat="1">
      <alignment horizontal="left" vertical="center"/>
    </xf>
    <xf numFmtId="0" fontId="83" fillId="39" borderId="0" xfId="955" applyFont="1" applyFill="1" applyNumberFormat="1">
      <alignment vertical="center" wrapText="1"/>
    </xf>
    <xf numFmtId="0" fontId="27" fillId="39" borderId="33" xfId="956" applyFont="1" applyFill="1" applyBorder="1" applyNumberFormat="1">
      <alignment horizontal="center" vertical="center" wrapText="1"/>
    </xf>
    <xf numFmtId="0" fontId="23" fillId="39" borderId="33" xfId="957" applyFont="1" applyFill="1" applyBorder="1" applyNumberFormat="1">
      <alignment horizontal="center" vertical="center" wrapText="1"/>
    </xf>
    <xf numFmtId="0" fontId="23" fillId="39" borderId="27" xfId="958" applyFont="1" applyFill="1" applyBorder="1" applyNumberFormat="1">
      <alignment horizontal="center" vertical="center" wrapText="1"/>
    </xf>
    <xf numFmtId="0" fontId="27" fillId="39" borderId="28" xfId="959" applyFont="1" applyFill="1" applyBorder="1" applyNumberFormat="1">
      <alignment horizontal="center" vertical="center" wrapText="1"/>
    </xf>
    <xf numFmtId="0" fontId="23" fillId="39" borderId="28" xfId="960" applyFont="1" applyFill="1" applyBorder="1" applyNumberFormat="1">
      <alignment horizontal="center" vertical="center" wrapText="1"/>
    </xf>
    <xf numFmtId="0" fontId="23" fillId="39" borderId="0" xfId="961" applyFont="1" applyFill="1" applyNumberFormat="1">
      <alignment horizontal="center" vertical="center" wrapText="1"/>
    </xf>
    <xf numFmtId="0" fontId="23" fillId="39" borderId="29" xfId="962" applyFont="1" applyFill="1" applyBorder="1" applyNumberFormat="1">
      <alignment horizontal="center" vertical="center" wrapText="1"/>
    </xf>
    <xf numFmtId="0" fontId="27" fillId="37" borderId="23" xfId="963" applyFont="1" applyFill="1" applyBorder="1" applyNumberFormat="1">
      <alignment horizontal="center" vertical="center" wrapText="1"/>
    </xf>
    <xf numFmtId="0" fontId="27" fillId="38" borderId="23" xfId="964" applyFont="1" applyFill="1" applyBorder="1" applyNumberFormat="1">
      <alignment horizontal="center" vertical="center" wrapText="1"/>
      <protection locked="0"/>
    </xf>
    <xf numFmtId="0" fontId="27" fillId="39" borderId="35" xfId="965" applyFont="1" applyFill="1" applyBorder="1" applyNumberFormat="1">
      <alignment horizontal="center" vertical="center" wrapText="1"/>
    </xf>
    <xf numFmtId="0" fontId="23" fillId="39" borderId="35" xfId="966" applyFont="1" applyFill="1" applyBorder="1" applyNumberFormat="1">
      <alignment horizontal="center" vertical="center" wrapText="1"/>
    </xf>
    <xf numFmtId="0" fontId="23" fillId="39" borderId="45" xfId="967" applyFont="1" applyFill="1" applyBorder="1" applyNumberFormat="1">
      <alignment horizontal="center" vertical="center" wrapText="1"/>
    </xf>
    <xf numFmtId="0" fontId="23" fillId="39" borderId="34" xfId="968" applyFont="1" applyFill="1" applyBorder="1" applyNumberFormat="1">
      <alignment horizontal="center" vertical="center" wrapText="1"/>
    </xf>
    <xf numFmtId="0" fontId="27" fillId="0" borderId="23" xfId="969" applyFont="1" applyBorder="1" applyNumberFormat="1">
      <alignment horizontal="left" vertical="center" wrapText="1" indent="1"/>
    </xf>
    <xf numFmtId="49" fontId="27" fillId="41" borderId="21" xfId="970" applyFont="1" applyFill="1" applyBorder="1" applyNumberFormat="1">
      <alignment horizontal="center" vertical="center" wrapText="1"/>
    </xf>
    <xf numFmtId="49" fontId="55" fillId="0" borderId="29" xfId="971" applyFont="1" applyBorder="1" applyNumberFormat="1">
      <alignment vertical="top"/>
    </xf>
    <xf numFmtId="0" fontId="83" fillId="0" borderId="0" xfId="972" applyFont="1" applyNumberFormat="1">
      <alignment vertical="center" wrapText="1"/>
    </xf>
    <xf numFmtId="0" fontId="27" fillId="35" borderId="21" xfId="1027" applyFont="1" applyFill="1" applyBorder="1" applyNumberFormat="1">
      <alignment horizontal="left" vertical="center" wrapText="1"/>
      <protection locked="0"/>
    </xf>
    <xf numFmtId="0" fontId="27" fillId="35" borderId="25" xfId="1028" applyFont="1" applyFill="1" applyBorder="1" applyNumberFormat="1">
      <alignment horizontal="left" vertical="center" wrapText="1"/>
      <protection locked="0"/>
    </xf>
    <xf numFmtId="0" fontId="27" fillId="35" borderId="20" xfId="1029" applyFont="1" applyFill="1" applyBorder="1" applyNumberFormat="1">
      <alignment horizontal="left" vertical="center" wrapText="1"/>
      <protection locked="0"/>
    </xf>
    <xf numFmtId="49" fontId="27" fillId="35" borderId="21" xfId="1017" applyFont="1" applyFill="1" applyBorder="1" applyNumberFormat="1">
      <alignment horizontal="left" vertical="center" wrapText="1"/>
      <protection locked="0"/>
    </xf>
    <xf numFmtId="49" fontId="27" fillId="35" borderId="25" xfId="1030" applyFont="1" applyFill="1" applyBorder="1" applyNumberFormat="1">
      <alignment horizontal="left" vertical="center" wrapText="1"/>
      <protection locked="0"/>
    </xf>
    <xf numFmtId="49" fontId="27" fillId="35" borderId="20" xfId="1031" applyFont="1" applyFill="1" applyBorder="1" applyNumberFormat="1">
      <alignment horizontal="left" vertical="center" wrapText="1"/>
      <protection locked="0"/>
    </xf>
    <xf numFmtId="49" fontId="27" fillId="35" borderId="23" xfId="1032" applyFont="1" applyFill="1" applyBorder="1" applyNumberFormat="1">
      <alignment horizontal="left" vertical="center" wrapText="1" indent="6"/>
      <protection locked="0"/>
    </xf>
    <xf numFmtId="4" fontId="27" fillId="0" borderId="33" xfId="1033" applyFont="1" applyBorder="1" applyNumberFormat="1">
      <alignment horizontal="right" vertical="center" wrapText="1"/>
    </xf>
    <xf numFmtId="0" fontId="49" fillId="0" borderId="23" xfId="1034" applyFont="1" applyBorder="1" applyNumberFormat="1">
      <alignment horizontal="left" vertical="top" wrapText="1"/>
    </xf>
    <xf numFmtId="4" fontId="27" fillId="0" borderId="35" xfId="1014" applyFont="1" applyBorder="1" applyNumberFormat="1">
      <alignment horizontal="right" vertical="center" wrapText="1"/>
    </xf>
    <xf numFmtId="49" fontId="23" fillId="41" borderId="34" xfId="1035" applyFont="1" applyFill="1" applyBorder="1" applyNumberFormat="1">
      <alignment horizontal="center" vertical="center" wrapText="1"/>
    </xf>
    <xf numFmtId="49" fontId="48" fillId="41" borderId="25" xfId="993" applyFont="1" applyFill="1" applyBorder="1" applyNumberFormat="1">
      <alignment horizontal="left" vertical="center" indent="3"/>
    </xf>
    <xf numFmtId="49" fontId="27" fillId="35" borderId="32" xfId="985" applyFont="1" applyFill="1" applyBorder="1" applyNumberFormat="1">
      <alignment horizontal="left" vertical="center" wrapText="1" indent="6"/>
      <protection locked="0"/>
    </xf>
    <xf numFmtId="4" fontId="27" fillId="38" borderId="23" xfId="986" applyFont="1" applyFill="1" applyBorder="1" applyNumberFormat="1">
      <alignment horizontal="left" vertical="center" wrapText="1" indent="1"/>
      <protection locked="0"/>
    </xf>
    <xf numFmtId="0" fontId="27" fillId="0" borderId="0" xfId="987" applyFont="1" applyNumberFormat="1">
      <alignment horizontal="left" vertical="center"/>
    </xf>
    <xf numFmtId="0" fontId="27" fillId="38" borderId="20" xfId="988" applyFont="1" applyFill="1" applyBorder="1" applyNumberFormat="1">
      <alignment horizontal="center" vertical="center" wrapText="1"/>
      <protection locked="0"/>
    </xf>
    <xf numFmtId="0" fontId="27" fillId="39" borderId="34" xfId="989" applyFont="1" applyFill="1" applyBorder="1" applyNumberFormat="1">
      <alignment horizontal="center" vertical="center" wrapText="1"/>
    </xf>
    <xf numFmtId="0" fontId="88" fillId="39" borderId="0" xfId="1036" applyFont="1" applyFill="1" applyNumberFormat="1">
      <alignment horizontal="center" vertical="center" wrapText="1"/>
    </xf>
    <xf numFmtId="0" fontId="44" fillId="39" borderId="23" xfId="1037" applyFont="1" applyFill="1" applyBorder="1" applyNumberFormat="1">
      <alignment horizontal="left" vertical="center" wrapText="1" indent="3"/>
    </xf>
    <xf numFmtId="4" fontId="27" fillId="38" borderId="23" xfId="1038" applyFont="1" applyFill="1" applyBorder="1" applyNumberFormat="1">
      <alignment horizontal="center" vertical="center" wrapText="1"/>
      <protection locked="0"/>
    </xf>
    <xf numFmtId="49" fontId="27" fillId="40" borderId="27" xfId="1039" applyFont="1" applyFill="1" applyBorder="1" applyNumberFormat="1">
      <alignment horizontal="center" vertical="center" wrapText="1"/>
    </xf>
    <xf numFmtId="49" fontId="27" fillId="35" borderId="42" xfId="1040" applyFont="1" applyFill="1" applyBorder="1" applyNumberFormat="1">
      <alignment horizontal="left" vertical="center" wrapText="1" indent="6"/>
      <protection locked="0"/>
    </xf>
    <xf numFmtId="49" fontId="27" fillId="40" borderId="34" xfId="1041" applyFont="1" applyFill="1" applyBorder="1" applyNumberFormat="1">
      <alignment horizontal="center" vertical="center" wrapText="1"/>
    </xf>
    <xf numFmtId="49" fontId="48" fillId="41" borderId="45" xfId="790" applyFont="1" applyFill="1" applyBorder="1" applyNumberFormat="1">
      <alignment horizontal="left" vertical="center"/>
    </xf>
    <xf numFmtId="49" fontId="27" fillId="35" borderId="30" xfId="1042" applyFont="1" applyFill="1" applyBorder="1" applyNumberFormat="1">
      <alignment horizontal="left" vertical="center" wrapText="1" indent="6"/>
      <protection locked="0"/>
    </xf>
    <xf numFmtId="0" fontId="44" fillId="0" borderId="26" xfId="1043" applyFont="1" applyBorder="1" applyNumberFormat="1">
      <alignment horizontal="left" vertical="center" wrapText="1"/>
    </xf>
    <xf numFmtId="0" fontId="27" fillId="0" borderId="66" xfId="1044" applyFont="1" applyBorder="1" applyNumberFormat="1">
      <alignment horizontal="center" vertical="center" wrapText="1"/>
    </xf>
    <xf numFmtId="0" fontId="27" fillId="38" borderId="23" xfId="1045" applyFont="1" applyFill="1" applyBorder="1" applyNumberFormat="1">
      <alignment horizontal="left" vertical="center" wrapText="1" indent="2"/>
      <protection locked="0"/>
    </xf>
    <xf numFmtId="0" fontId="44" fillId="0" borderId="66" xfId="1046" applyFont="1" applyBorder="1" applyNumberFormat="1">
      <alignment horizontal="center" vertical="center" wrapText="1"/>
    </xf>
    <xf numFmtId="0" fontId="44" fillId="0" borderId="23" xfId="1047" applyFont="1" applyBorder="1" applyNumberFormat="1">
      <alignment horizontal="left" vertical="center" wrapText="1" indent="2"/>
    </xf>
    <xf numFmtId="0" fontId="27" fillId="0" borderId="23" xfId="1048" applyFont="1" applyBorder="1" applyNumberFormat="1">
      <alignment horizontal="left" vertical="center" wrapText="1" indent="3"/>
    </xf>
    <xf numFmtId="49" fontId="27" fillId="38" borderId="23" xfId="1049" applyFont="1" applyFill="1" applyBorder="1" applyNumberFormat="1">
      <alignment horizontal="center" vertical="center" wrapText="1"/>
      <protection locked="0"/>
    </xf>
    <xf numFmtId="0" fontId="27" fillId="35" borderId="23" xfId="1050" applyFont="1" applyFill="1" applyBorder="1" applyNumberFormat="1">
      <alignment horizontal="left" vertical="center" wrapText="1"/>
      <protection locked="0"/>
    </xf>
    <xf numFmtId="0" fontId="27" fillId="0" borderId="20" xfId="1051" applyFont="1" applyBorder="1" applyNumberFormat="1">
      <alignment vertical="top" wrapText="1"/>
    </xf>
    <xf numFmtId="437" fontId="27" fillId="35" borderId="23" xfId="1052" applyFont="1" applyFill="1" applyBorder="1" applyNumberFormat="1">
      <alignment horizontal="right" vertical="center" wrapText="1"/>
      <protection locked="0"/>
    </xf>
    <xf numFmtId="0" fontId="27" fillId="0" borderId="27" xfId="1053" applyFont="1" applyBorder="1" applyNumberFormat="1">
      <alignment vertical="center" wrapText="1"/>
    </xf>
    <xf numFmtId="0" fontId="80" fillId="39" borderId="0" xfId="1054" applyFont="1" applyFill="1" applyNumberFormat="1">
      <alignment horizontal="right" vertical="center"/>
    </xf>
    <xf numFmtId="0" fontId="27" fillId="0" borderId="21" xfId="1001" applyFont="1" applyBorder="1" applyNumberFormat="1">
      <alignment vertical="center" wrapText="1"/>
    </xf>
    <xf numFmtId="0" fontId="27" fillId="0" borderId="25" xfId="1002" applyFont="1" applyBorder="1" applyNumberFormat="1">
      <alignment horizontal="right" vertical="center" wrapText="1" indent="1"/>
    </xf>
    <xf numFmtId="0" fontId="27" fillId="0" borderId="20" xfId="1003" applyFont="1" applyBorder="1" applyNumberFormat="1">
      <alignment horizontal="right" vertical="center" wrapText="1" indent="1"/>
    </xf>
    <xf numFmtId="0" fontId="27" fillId="37" borderId="21" xfId="1055" applyFont="1" applyFill="1" applyBorder="1" applyNumberFormat="1">
      <alignment horizontal="left" vertical="top" wrapText="1"/>
    </xf>
    <xf numFmtId="0" fontId="27" fillId="0" borderId="21" xfId="1006" applyFont="1" applyBorder="1" applyNumberFormat="1">
      <alignment horizontal="right" vertical="center" wrapText="1"/>
    </xf>
    <xf numFmtId="0" fontId="27" fillId="0" borderId="25" xfId="1007" applyFont="1" applyBorder="1" applyNumberFormat="1">
      <alignment horizontal="right" vertical="center" wrapText="1"/>
    </xf>
    <xf numFmtId="4" fontId="27" fillId="38" borderId="23" xfId="1056" applyFont="1" applyFill="1" applyBorder="1" applyNumberFormat="1">
      <alignment horizontal="right" vertical="center" wrapText="1"/>
      <protection locked="0"/>
    </xf>
    <xf numFmtId="4" fontId="27" fillId="37" borderId="23" xfId="693" applyFont="1" applyFill="1" applyBorder="1" applyNumberFormat="1">
      <alignment horizontal="right" vertical="center" wrapText="1"/>
    </xf>
    <xf numFmtId="49" fontId="33" fillId="34" borderId="0" xfId="1057" applyFont="1" applyFill="1" applyNumberFormat="1">
      <alignment horizontal="center" vertical="center" textRotation="90" wrapText="1"/>
    </xf>
    <xf numFmtId="0" fontId="55" fillId="0" borderId="0" xfId="1058" applyFont="1" applyNumberFormat="1">
      <alignment horizontal="center" vertical="center" wrapText="1"/>
    </xf>
    <xf numFmtId="49" fontId="55" fillId="0" borderId="66" xfId="1059" applyFont="1" applyBorder="1" applyNumberFormat="1">
      <alignment horizontal="center" vertical="center" wrapText="1"/>
    </xf>
    <xf numFmtId="0" fontId="55" fillId="0" borderId="23" xfId="1060" applyFont="1" applyBorder="1" applyNumberFormat="1">
      <alignment horizontal="left" vertical="center" wrapText="1" indent="2"/>
    </xf>
    <xf numFmtId="0" fontId="55" fillId="0" borderId="23" xfId="1061" applyFont="1" applyBorder="1" applyNumberFormat="1">
      <alignment horizontal="center" vertical="center" wrapText="1"/>
    </xf>
    <xf numFmtId="0" fontId="55" fillId="0" borderId="23" xfId="1062" applyFont="1" applyBorder="1" applyNumberFormat="1">
      <alignment vertical="center" wrapText="1"/>
    </xf>
    <xf numFmtId="0" fontId="55" fillId="0" borderId="66" xfId="1063" applyFont="1" applyBorder="1" applyNumberFormat="1">
      <alignment horizontal="center" vertical="center" wrapText="1"/>
    </xf>
    <xf numFmtId="0" fontId="55" fillId="0" borderId="23" xfId="1064" applyFont="1" applyBorder="1" applyNumberFormat="1">
      <alignment horizontal="left" vertical="center" wrapText="1" indent="3"/>
    </xf>
    <xf numFmtId="4" fontId="55" fillId="0" borderId="23" xfId="1065" applyFont="1" applyBorder="1" applyNumberFormat="1">
      <alignment horizontal="right" vertical="center" wrapText="1"/>
    </xf>
    <xf numFmtId="49" fontId="27" fillId="41" borderId="21" xfId="1066" applyFont="1" applyFill="1" applyBorder="1" applyNumberFormat="1">
      <alignment vertical="center" wrapText="1"/>
    </xf>
    <xf numFmtId="0" fontId="27" fillId="41" borderId="25" xfId="594" applyFont="1" applyFill="1" applyBorder="1" applyNumberFormat="1">
      <alignment vertical="center" wrapText="1"/>
    </xf>
    <xf numFmtId="0" fontId="37" fillId="41" borderId="20" xfId="1024" applyFont="1" applyFill="1" applyBorder="1" applyNumberFormat="1">
      <alignment vertical="center" wrapText="1"/>
    </xf>
    <xf numFmtId="0" fontId="27" fillId="0" borderId="23" xfId="1067" applyFont="1" applyBorder="1" applyNumberFormat="1">
      <alignment horizontal="left" vertical="center" wrapText="1" indent="2"/>
    </xf>
    <xf numFmtId="49" fontId="33" fillId="34" borderId="0" xfId="1068" applyFont="1" applyFill="1" applyNumberFormat="1">
      <alignment horizontal="center" vertical="center" wrapText="1"/>
    </xf>
    <xf numFmtId="437" fontId="27" fillId="38" borderId="23" xfId="1069" applyFont="1" applyFill="1" applyBorder="1" applyNumberFormat="1">
      <alignment horizontal="right" vertical="center" wrapText="1"/>
      <protection locked="0"/>
    </xf>
    <xf numFmtId="0" fontId="37" fillId="0" borderId="0" xfId="1070" applyFont="1" applyNumberFormat="1">
      <alignment horizontal="left" vertical="center" wrapText="1"/>
    </xf>
    <xf numFmtId="4" fontId="27" fillId="37" borderId="32" xfId="1071" applyFont="1" applyFill="1" applyBorder="1" applyNumberFormat="1">
      <alignment horizontal="right" vertical="center" wrapText="1"/>
    </xf>
    <xf numFmtId="0" fontId="44" fillId="0" borderId="23" xfId="1072" applyFont="1" applyBorder="1" applyNumberFormat="1">
      <alignment horizontal="left" vertical="center" wrapText="1" indent="3"/>
    </xf>
    <xf numFmtId="49" fontId="44" fillId="0" borderId="23" xfId="1073" applyFont="1" applyBorder="1" applyNumberFormat="1">
      <alignment vertical="center" wrapText="1"/>
    </xf>
    <xf numFmtId="0" fontId="44" fillId="0" borderId="32" xfId="1074" applyFont="1" applyBorder="1" applyNumberFormat="1">
      <alignment vertical="top" wrapText="1"/>
    </xf>
    <xf numFmtId="0" fontId="27" fillId="0" borderId="21" xfId="1075" applyFont="1" applyBorder="1" applyNumberFormat="1">
      <alignment horizontal="left" vertical="center" wrapText="1" indent="2"/>
    </xf>
    <xf numFmtId="4" fontId="27" fillId="38" borderId="20" xfId="1076" applyFont="1" applyFill="1" applyBorder="1" applyNumberFormat="1">
      <alignment horizontal="right" vertical="center" wrapText="1"/>
      <protection locked="0"/>
    </xf>
    <xf numFmtId="0" fontId="27" fillId="0" borderId="21" xfId="1077" applyFont="1" applyBorder="1" applyNumberFormat="1">
      <alignment horizontal="left" vertical="center" wrapText="1" indent="1"/>
    </xf>
    <xf numFmtId="49" fontId="36" fillId="38" borderId="20" xfId="1078" applyFont="1" applyFill="1" applyBorder="1" applyNumberFormat="1">
      <alignment horizontal="left" vertical="center" wrapText="1"/>
      <protection locked="0"/>
    </xf>
    <xf numFmtId="437" fontId="27" fillId="38" borderId="20" xfId="1079" applyFont="1" applyFill="1" applyBorder="1" applyNumberFormat="1">
      <alignment horizontal="right" vertical="center" wrapText="1"/>
      <protection locked="0"/>
    </xf>
    <xf numFmtId="437" fontId="27" fillId="37" borderId="20" xfId="1080" applyFont="1" applyFill="1" applyBorder="1" applyNumberFormat="1">
      <alignment horizontal="right" vertical="center" wrapText="1"/>
    </xf>
    <xf numFmtId="437" fontId="27" fillId="37" borderId="23" xfId="1081" applyFont="1" applyFill="1" applyBorder="1" applyNumberFormat="1">
      <alignment horizontal="right" vertical="center" wrapText="1"/>
    </xf>
    <xf numFmtId="4" fontId="27" fillId="38" borderId="34" xfId="1082" applyFont="1" applyFill="1" applyBorder="1" applyNumberFormat="1">
      <alignment horizontal="right" vertical="center" wrapText="1"/>
      <protection locked="0"/>
    </xf>
    <xf numFmtId="4" fontId="27" fillId="38" borderId="30" xfId="1083" applyFont="1" applyFill="1" applyBorder="1" applyNumberFormat="1">
      <alignment horizontal="right" vertical="center" wrapText="1"/>
      <protection locked="0"/>
    </xf>
    <xf numFmtId="0" fontId="44" fillId="0" borderId="42" xfId="1084" applyFont="1" applyBorder="1" applyNumberFormat="1">
      <alignment horizontal="left" vertical="center" wrapText="1" indent="1"/>
    </xf>
    <xf numFmtId="0" fontId="44" fillId="0" borderId="42" xfId="1085" applyFont="1" applyBorder="1" applyNumberFormat="1">
      <alignment horizontal="center" vertical="center" wrapText="1"/>
    </xf>
    <xf numFmtId="0" fontId="44" fillId="0" borderId="32" xfId="1086" applyFont="1" applyBorder="1" applyNumberFormat="1">
      <alignment vertical="center" wrapText="1"/>
    </xf>
    <xf numFmtId="49" fontId="27" fillId="41" borderId="33" xfId="1087" applyFont="1" applyFill="1" applyBorder="1" applyNumberFormat="1">
      <alignment vertical="center" wrapText="1"/>
    </xf>
    <xf numFmtId="49" fontId="48" fillId="41" borderId="26" xfId="1088" applyFont="1" applyFill="1" applyBorder="1" applyNumberFormat="1">
      <alignment horizontal="left" vertical="center" indent="1"/>
    </xf>
    <xf numFmtId="0" fontId="27" fillId="0" borderId="30" xfId="780" applyFont="1" applyBorder="1" applyNumberFormat="1">
      <alignment vertical="top" wrapText="1"/>
    </xf>
    <xf numFmtId="437" fontId="27" fillId="38" borderId="32" xfId="1089" applyFont="1" applyFill="1" applyBorder="1" applyNumberFormat="1">
      <alignment horizontal="right" vertical="center" wrapText="1"/>
      <protection locked="0"/>
    </xf>
    <xf numFmtId="0" fontId="44" fillId="0" borderId="30" xfId="1090" applyFont="1" applyBorder="1" applyNumberFormat="1">
      <alignment horizontal="left" vertical="center" wrapText="1" indent="1"/>
    </xf>
    <xf numFmtId="0" fontId="44" fillId="0" borderId="32" xfId="1091" applyFont="1" applyBorder="1" applyNumberFormat="1">
      <alignment horizontal="left" vertical="center" wrapText="1" indent="1"/>
    </xf>
    <xf numFmtId="49" fontId="36" fillId="35" borderId="23" xfId="811" applyFont="1" applyFill="1" applyBorder="1" applyNumberFormat="1">
      <alignment horizontal="left" vertical="center" wrapText="1"/>
      <protection locked="0"/>
    </xf>
    <xf numFmtId="49" fontId="33" fillId="0" borderId="0" xfId="1092" applyFont="1" applyNumberFormat="1">
      <alignment horizontal="center" vertical="center" wrapText="1"/>
    </xf>
    <xf numFmtId="0" fontId="67" fillId="0" borderId="0" xfId="1093" applyFont="1" applyNumberFormat="1">
      <alignment vertical="center" wrapText="1"/>
    </xf>
    <xf numFmtId="0" fontId="27" fillId="0" borderId="26" xfId="996" applyFont="1" applyBorder="1" applyNumberFormat="1">
      <alignment vertical="center" wrapText="1"/>
    </xf>
    <xf numFmtId="0" fontId="27" fillId="0" borderId="45" xfId="1094" applyFont="1" applyBorder="1" applyNumberFormat="1">
      <alignment vertical="center" wrapText="1"/>
    </xf>
    <xf numFmtId="0" fontId="84" fillId="39" borderId="0" xfId="1095" applyFont="1" applyFill="1" applyNumberFormat="1">
      <alignment horizontal="right" vertical="center"/>
    </xf>
    <xf numFmtId="0" fontId="23" fillId="0" borderId="0" xfId="501" applyFont="1" applyNumberFormat="1">
      <alignment vertical="top"/>
    </xf>
    <xf numFmtId="49" fontId="44" fillId="0" borderId="32" xfId="1096" applyFont="1" applyBorder="1" applyNumberFormat="1">
      <alignment horizontal="center" vertical="center" wrapText="1"/>
    </xf>
    <xf numFmtId="0" fontId="23" fillId="0" borderId="21" xfId="684" applyFont="1" applyBorder="1" applyNumberFormat="1">
      <alignment horizontal="right" vertical="center" wrapText="1" indent="1"/>
    </xf>
    <xf numFmtId="0" fontId="23" fillId="0" borderId="25" xfId="685" applyFont="1" applyBorder="1" applyNumberFormat="1">
      <alignment horizontal="right" vertical="center" wrapText="1" indent="1"/>
    </xf>
    <xf numFmtId="0" fontId="23" fillId="0" borderId="20" xfId="686" applyFont="1" applyBorder="1" applyNumberFormat="1">
      <alignment horizontal="right" vertical="center" wrapText="1" indent="1"/>
    </xf>
    <xf numFmtId="0" fontId="27" fillId="0" borderId="20" xfId="687" applyFont="1" applyBorder="1" applyNumberFormat="1">
      <alignment horizontal="left" vertical="center" wrapText="1" indent="1"/>
    </xf>
    <xf numFmtId="49" fontId="44" fillId="0" borderId="28" xfId="688" applyFont="1" applyBorder="1" applyNumberFormat="1">
      <alignment vertical="top"/>
    </xf>
    <xf numFmtId="0" fontId="76" fillId="0" borderId="0" xfId="689" applyFont="1" applyNumberFormat="1">
      <alignment vertical="top"/>
    </xf>
    <xf numFmtId="0" fontId="77" fillId="0" borderId="0" xfId="690" applyFont="1" applyNumberFormat="1">
      <alignment vertical="top"/>
    </xf>
    <xf numFmtId="49" fontId="44" fillId="0" borderId="42" xfId="1097" applyFont="1" applyBorder="1" applyNumberFormat="1">
      <alignment horizontal="center" vertical="center" wrapText="1"/>
    </xf>
    <xf numFmtId="0" fontId="27" fillId="0" borderId="30" xfId="692" applyFont="1" applyBorder="1" applyNumberFormat="1">
      <alignment horizontal="left" vertical="center" wrapText="1"/>
    </xf>
    <xf numFmtId="2" fontId="27" fillId="0" borderId="30" xfId="694" applyFont="1" applyBorder="1" applyNumberFormat="1">
      <alignment horizontal="center" vertical="center" wrapText="1"/>
    </xf>
    <xf numFmtId="0" fontId="44" fillId="0" borderId="28" xfId="695" applyFont="1" applyBorder="1" applyNumberFormat="1">
      <alignment vertical="center" wrapText="1"/>
    </xf>
    <xf numFmtId="49" fontId="44" fillId="0" borderId="30" xfId="1098" applyFont="1" applyBorder="1" applyNumberFormat="1">
      <alignment horizontal="center" vertical="center" wrapText="1"/>
    </xf>
    <xf numFmtId="49" fontId="27" fillId="0" borderId="42" xfId="691" applyFont="1" applyBorder="1" applyNumberFormat="1">
      <alignment horizontal="center" vertical="center" wrapText="1"/>
    </xf>
    <xf numFmtId="0" fontId="48" fillId="0" borderId="23" xfId="697" applyFont="1" applyBorder="1" applyNumberFormat="1">
      <alignment horizontal="left" vertical="center" indent="1"/>
    </xf>
    <xf numFmtId="49" fontId="27" fillId="0" borderId="30" xfId="698" applyFont="1" applyBorder="1" applyNumberFormat="1">
      <alignment horizontal="center" vertical="center" wrapText="1"/>
    </xf>
    <xf numFmtId="49" fontId="48" fillId="0" borderId="26" xfId="1099" applyFont="1" applyBorder="1" applyNumberFormat="1">
      <alignment horizontal="right" vertical="center"/>
    </xf>
    <xf numFmtId="49" fontId="28" fillId="0" borderId="0" xfId="1100" applyFont="1" applyNumberFormat="1">
      <alignment horizontal="center" vertical="center" wrapText="1"/>
    </xf>
    <xf numFmtId="0" fontId="37" fillId="53" borderId="23" xfId="1145" applyFont="1" applyFill="1" applyBorder="1" applyNumberFormat="1">
      <alignment horizontal="left" vertical="center" wrapText="1"/>
    </xf>
    <xf numFmtId="0" fontId="27" fillId="49" borderId="23" xfId="1146" applyFont="1" applyFill="1" applyBorder="1" applyNumberFormat="1">
      <alignment vertical="center"/>
    </xf>
    <xf numFmtId="49" fontId="23" fillId="7" borderId="23" xfId="1147" applyFont="1" applyFill="1" applyBorder="1" applyNumberFormat="1">
      <alignment horizontal="center" vertical="center" wrapText="1"/>
    </xf>
    <xf numFmtId="49" fontId="91" fillId="0" borderId="32" xfId="1148" applyFont="1" applyBorder="1" applyNumberFormat="1">
      <alignment horizontal="center" vertical="center" wrapText="1"/>
    </xf>
    <xf numFmtId="49" fontId="91" fillId="0" borderId="23" xfId="1149" applyFont="1" applyBorder="1" applyNumberFormat="1">
      <alignment horizontal="center" vertical="center" wrapText="1"/>
    </xf>
    <xf numFmtId="0" fontId="44" fillId="0" borderId="21" xfId="1101" applyFont="1" applyBorder="1" applyNumberFormat="1">
      <alignment vertical="center" wrapText="1"/>
    </xf>
    <xf numFmtId="0" fontId="27" fillId="0" borderId="26" xfId="1150" applyFont="1" applyBorder="1" applyNumberFormat="1">
      <alignment horizontal="right" vertical="center" wrapText="1" indent="1"/>
    </xf>
    <xf numFmtId="49" fontId="27" fillId="0" borderId="66" xfId="1105" applyFont="1" applyBorder="1" applyNumberFormat="1">
      <alignment horizontal="center" vertical="center" wrapText="1"/>
    </xf>
    <xf numFmtId="49" fontId="36" fillId="38" borderId="21" xfId="774" applyFont="1" applyFill="1" applyBorder="1" applyNumberFormat="1">
      <alignment horizontal="left" vertical="center" wrapText="1"/>
      <protection locked="0"/>
    </xf>
    <xf numFmtId="0" fontId="89" fillId="0" borderId="0" xfId="1106" applyFont="1" applyNumberFormat="1">
      <alignment vertical="center" wrapText="1"/>
    </xf>
    <xf numFmtId="49" fontId="27" fillId="0" borderId="69" xfId="1112" applyFont="1" applyBorder="1" applyNumberFormat="1">
      <alignment horizontal="center" vertical="center" wrapText="1"/>
    </xf>
    <xf numFmtId="4" fontId="27" fillId="38" borderId="33" xfId="1151" applyFont="1" applyFill="1" applyBorder="1" applyNumberFormat="1">
      <alignment horizontal="right" vertical="center" wrapText="1"/>
      <protection locked="0"/>
    </xf>
    <xf numFmtId="4" fontId="27" fillId="38" borderId="32" xfId="1109" applyFont="1" applyFill="1" applyBorder="1" applyNumberFormat="1">
      <alignment horizontal="right" vertical="center" wrapText="1"/>
      <protection locked="0"/>
    </xf>
    <xf numFmtId="0" fontId="37" fillId="41" borderId="25" xfId="1152" applyFont="1" applyFill="1" applyBorder="1" applyNumberFormat="1">
      <alignment vertical="center" wrapText="1"/>
    </xf>
    <xf numFmtId="49" fontId="27" fillId="0" borderId="67" xfId="1107" applyFont="1" applyBorder="1" applyNumberFormat="1">
      <alignment horizontal="center" vertical="center" wrapText="1"/>
    </xf>
    <xf numFmtId="4" fontId="27" fillId="38" borderId="21" xfId="1142" applyFont="1" applyFill="1" applyBorder="1" applyNumberFormat="1">
      <alignment horizontal="right" vertical="center" wrapText="1"/>
      <protection locked="0"/>
    </xf>
    <xf numFmtId="49" fontId="27" fillId="0" borderId="68" xfId="1108" applyFont="1" applyBorder="1" applyNumberFormat="1">
      <alignment horizontal="center" vertical="center" wrapText="1"/>
    </xf>
    <xf numFmtId="3" fontId="27" fillId="38" borderId="21" xfId="1153" applyFont="1" applyFill="1" applyBorder="1" applyNumberFormat="1">
      <alignment horizontal="right" vertical="center" wrapText="1"/>
      <protection locked="0"/>
    </xf>
    <xf numFmtId="49" fontId="86" fillId="0" borderId="0" xfId="990" applyFont="1" applyNumberFormat="1">
      <alignment horizontal="center" vertical="center" wrapText="1"/>
    </xf>
    <xf numFmtId="0" fontId="27" fillId="0" borderId="23" xfId="809" applyFont="1" applyBorder="1" applyNumberFormat="1">
      <alignment vertical="top" wrapText="1"/>
    </xf>
    <xf numFmtId="0" fontId="27" fillId="39" borderId="0" xfId="768" applyFont="1" applyFill="1" applyNumberFormat="1">
      <alignment horizontal="right" vertical="center" wrapText="1"/>
    </xf>
    <xf numFmtId="0" fontId="27" fillId="39" borderId="0" xfId="769" applyFont="1" applyFill="1" applyNumberFormat="1">
      <alignment horizontal="right" vertical="center"/>
    </xf>
    <xf numFmtId="0" fontId="27" fillId="39" borderId="21" xfId="566" applyFont="1" applyFill="1" applyBorder="1" applyNumberFormat="1">
      <alignment horizontal="center" vertical="center" wrapText="1"/>
    </xf>
    <xf numFmtId="0" fontId="27" fillId="39" borderId="25" xfId="797" applyFont="1" applyFill="1" applyBorder="1" applyNumberFormat="1">
      <alignment horizontal="center" vertical="center" wrapText="1"/>
    </xf>
    <xf numFmtId="0" fontId="27" fillId="39" borderId="27" xfId="1154" applyFont="1" applyFill="1" applyBorder="1" applyNumberFormat="1">
      <alignment horizontal="center" vertical="center" wrapText="1"/>
    </xf>
    <xf numFmtId="0" fontId="27" fillId="39" borderId="23" xfId="550" applyFont="1" applyFill="1" applyBorder="1" applyNumberFormat="1">
      <alignment horizontal="center" vertical="center"/>
    </xf>
    <xf numFmtId="0" fontId="23" fillId="0" borderId="23" xfId="995" applyFont="1" applyBorder="1" applyNumberFormat="1">
      <alignment horizontal="left" vertical="top" wrapText="1"/>
    </xf>
    <xf numFmtId="0" fontId="23" fillId="0" borderId="23" xfId="712" applyFont="1" applyBorder="1" applyNumberFormat="1">
      <alignment horizontal="left" vertical="center" wrapText="1"/>
    </xf>
    <xf numFmtId="0" fontId="27" fillId="41" borderId="21" xfId="593" applyFont="1" applyFill="1" applyBorder="1" applyNumberFormat="1">
      <alignment vertical="center" wrapText="1"/>
    </xf>
    <xf numFmtId="49" fontId="78" fillId="41" borderId="20" xfId="772" applyFont="1" applyFill="1" applyBorder="1" applyNumberFormat="1">
      <alignment horizontal="center" vertical="top"/>
    </xf>
    <xf numFmtId="49" fontId="48" fillId="0" borderId="26" xfId="997" applyFont="1" applyBorder="1" applyNumberFormat="1">
      <alignment horizontal="left" vertical="center"/>
    </xf>
    <xf numFmtId="49" fontId="48" fillId="0" borderId="26" xfId="998" applyFont="1" applyBorder="1" applyNumberFormat="1">
      <alignment horizontal="left" vertical="center" indent="2"/>
    </xf>
    <xf numFmtId="49" fontId="78" fillId="0" borderId="26" xfId="999" applyFont="1" applyBorder="1" applyNumberFormat="1">
      <alignment horizontal="center" vertical="top"/>
    </xf>
    <xf numFmtId="0" fontId="44" fillId="0" borderId="25" xfId="1102" applyFont="1" applyBorder="1" applyNumberFormat="1">
      <alignment horizontal="right" vertical="center" wrapText="1" indent="1"/>
    </xf>
    <xf numFmtId="0" fontId="44" fillId="0" borderId="20" xfId="1103" applyFont="1" applyBorder="1" applyNumberFormat="1">
      <alignment horizontal="right" vertical="center" wrapText="1" indent="1"/>
    </xf>
    <xf numFmtId="0" fontId="44" fillId="0" borderId="21" xfId="1104" applyFont="1" applyBorder="1" applyNumberFormat="1">
      <alignment horizontal="left" vertical="top" wrapText="1"/>
    </xf>
    <xf numFmtId="49" fontId="48" fillId="41" borderId="26" xfId="1110" applyFont="1" applyFill="1" applyBorder="1" applyNumberFormat="1">
      <alignment horizontal="left" vertical="center" indent="2"/>
    </xf>
    <xf numFmtId="49" fontId="23" fillId="0" borderId="23" xfId="1111" applyFont="1" applyBorder="1" applyNumberFormat="1">
      <alignment horizontal="left" vertical="center" wrapText="1" indent="2"/>
    </xf>
    <xf numFmtId="49" fontId="23" fillId="0" borderId="23" xfId="1023" applyFont="1" applyBorder="1" applyNumberFormat="1">
      <alignment vertical="center" wrapText="1"/>
    </xf>
    <xf numFmtId="0" fontId="27" fillId="0" borderId="0" xfId="994" applyFont="1" applyNumberFormat="1">
      <alignment horizontal="right" vertical="top" wrapText="1"/>
    </xf>
    <xf numFmtId="0" fontId="27" fillId="0" borderId="0" xfId="548" applyFont="1" applyNumberFormat="1">
      <alignment horizontal="left" vertical="top" wrapText="1"/>
    </xf>
    <xf numFmtId="0" fontId="44" fillId="0" borderId="45" xfId="1113" applyFont="1" applyBorder="1" applyNumberFormat="1">
      <alignment vertical="center" wrapText="1"/>
    </xf>
    <xf numFmtId="0" fontId="27" fillId="37" borderId="20" xfId="1114" applyFont="1" applyFill="1" applyBorder="1" applyNumberFormat="1">
      <alignment horizontal="left" vertical="top" wrapText="1"/>
    </xf>
    <xf numFmtId="49" fontId="27" fillId="52" borderId="0" xfId="1115" applyFont="1" applyFill="1" applyNumberFormat="1">
      <alignment horizontal="center" vertical="center" textRotation="90" wrapText="1"/>
    </xf>
    <xf numFmtId="49" fontId="36" fillId="35" borderId="21" xfId="1116" applyFont="1" applyFill="1" applyBorder="1" applyNumberFormat="1">
      <alignment horizontal="left" vertical="center" wrapText="1"/>
      <protection locked="0"/>
    </xf>
    <xf numFmtId="0" fontId="90" fillId="0" borderId="28" xfId="1117" applyFont="1" applyBorder="1" applyNumberFormat="1">
      <alignment vertical="center" wrapText="1"/>
    </xf>
    <xf numFmtId="3" fontId="27" fillId="35" borderId="21" xfId="1010" applyFont="1" applyFill="1" applyBorder="1" applyNumberFormat="1">
      <alignment horizontal="right" vertical="center" wrapText="1"/>
      <protection locked="0"/>
    </xf>
    <xf numFmtId="4" fontId="27" fillId="35" borderId="21" xfId="1012" applyFont="1" applyFill="1" applyBorder="1" applyNumberFormat="1">
      <alignment horizontal="right" vertical="center" wrapText="1"/>
      <protection locked="0"/>
    </xf>
    <xf numFmtId="4" fontId="27" fillId="35" borderId="23" xfId="1118" applyFont="1" applyFill="1" applyBorder="1" applyNumberFormat="1">
      <alignment horizontal="left" vertical="center" wrapText="1"/>
      <protection locked="0"/>
    </xf>
    <xf numFmtId="4" fontId="27" fillId="35" borderId="21" xfId="1119" applyFont="1" applyFill="1" applyBorder="1" applyNumberFormat="1">
      <alignment horizontal="left" vertical="center" wrapText="1"/>
      <protection locked="0"/>
    </xf>
    <xf numFmtId="0" fontId="27" fillId="0" borderId="0" xfId="789" applyFont="1" applyNumberFormat="1">
      <alignment vertical="top" wrapText="1"/>
    </xf>
    <xf numFmtId="0" fontId="27" fillId="0" borderId="0" xfId="536" applyFont="1" applyNumberFormat="1">
      <alignment vertical="top"/>
    </xf>
    <xf numFmtId="49" fontId="36" fillId="0" borderId="23" xfId="1120" applyFont="1" applyBorder="1" applyNumberFormat="1">
      <alignment horizontal="left" vertical="center" wrapText="1"/>
    </xf>
    <xf numFmtId="49" fontId="27" fillId="0" borderId="52" xfId="1121" applyFont="1" applyBorder="1" applyNumberFormat="1">
      <alignment horizontal="center" vertical="center" wrapText="1"/>
    </xf>
    <xf numFmtId="0" fontId="27" fillId="0" borderId="52" xfId="1122" applyFont="1" applyBorder="1" applyNumberFormat="1">
      <alignment horizontal="left" vertical="center" wrapText="1"/>
    </xf>
    <xf numFmtId="4" fontId="27" fillId="0" borderId="70" xfId="1123" applyFont="1" applyBorder="1" applyNumberFormat="1">
      <alignment horizontal="center" vertical="center" wrapText="1"/>
    </xf>
    <xf numFmtId="49" fontId="36" fillId="0" borderId="35" xfId="1124" applyFont="1" applyBorder="1" applyNumberFormat="1">
      <alignment horizontal="left" vertical="center" wrapText="1"/>
    </xf>
    <xf numFmtId="49" fontId="27" fillId="0" borderId="49" xfId="1125" applyFont="1" applyBorder="1" applyNumberFormat="1">
      <alignment horizontal="center" vertical="center" wrapText="1"/>
    </xf>
    <xf numFmtId="0" fontId="27" fillId="0" borderId="54" xfId="1126" applyFont="1" applyBorder="1" applyNumberFormat="1">
      <alignment horizontal="left" vertical="center" wrapText="1" indent="1"/>
    </xf>
    <xf numFmtId="4" fontId="27" fillId="38" borderId="49" xfId="655" applyFont="1" applyFill="1" applyBorder="1" applyNumberFormat="1">
      <alignment horizontal="right" vertical="center" wrapText="1"/>
      <protection locked="0"/>
    </xf>
    <xf numFmtId="49" fontId="36" fillId="0" borderId="21" xfId="1127" applyFont="1" applyBorder="1" applyNumberFormat="1">
      <alignment horizontal="left" vertical="center" wrapText="1"/>
    </xf>
    <xf numFmtId="4" fontId="27" fillId="0" borderId="32" xfId="1128" applyFont="1" applyBorder="1" applyNumberFormat="1">
      <alignment horizontal="center" vertical="center" wrapText="1"/>
    </xf>
    <xf numFmtId="4" fontId="27" fillId="38" borderId="71" xfId="1129" applyFont="1" applyFill="1" applyBorder="1" applyNumberFormat="1">
      <alignment horizontal="right" vertical="center" wrapText="1"/>
      <protection locked="0"/>
    </xf>
    <xf numFmtId="0" fontId="27" fillId="0" borderId="54" xfId="1130" applyFont="1" applyBorder="1" applyNumberFormat="1">
      <alignment horizontal="left" vertical="center" wrapText="1"/>
    </xf>
    <xf numFmtId="49" fontId="36" fillId="0" borderId="25" xfId="1131" applyFont="1" applyBorder="1" applyNumberFormat="1">
      <alignment horizontal="left" vertical="center" wrapText="1"/>
    </xf>
    <xf numFmtId="0" fontId="27" fillId="0" borderId="49" xfId="1132" applyFont="1" applyBorder="1" applyNumberFormat="1">
      <alignment horizontal="left" vertical="center" wrapText="1" indent="1"/>
    </xf>
    <xf numFmtId="4" fontId="27" fillId="0" borderId="52" xfId="1133" applyFont="1" applyBorder="1" applyNumberFormat="1">
      <alignment horizontal="center" vertical="center" wrapText="1"/>
    </xf>
    <xf numFmtId="0" fontId="27" fillId="0" borderId="49" xfId="1134" applyFont="1" applyBorder="1" applyNumberFormat="1">
      <alignment horizontal="left" vertical="center" wrapText="1"/>
    </xf>
    <xf numFmtId="0" fontId="27" fillId="0" borderId="49" xfId="1135" applyFont="1" applyBorder="1" applyNumberFormat="1">
      <alignment horizontal="left" vertical="center" wrapText="1" indent="2"/>
    </xf>
    <xf numFmtId="4" fontId="27" fillId="0" borderId="49" xfId="1136" applyFont="1" applyBorder="1" applyNumberFormat="1">
      <alignment horizontal="center" vertical="center" wrapText="1"/>
    </xf>
    <xf numFmtId="49" fontId="27" fillId="0" borderId="53" xfId="1137" applyFont="1" applyBorder="1" applyNumberFormat="1">
      <alignment horizontal="center" vertical="center" wrapText="1"/>
    </xf>
    <xf numFmtId="0" fontId="27" fillId="0" borderId="71" xfId="1138" applyFont="1" applyBorder="1" applyNumberFormat="1">
      <alignment horizontal="left" vertical="center" wrapText="1"/>
    </xf>
    <xf numFmtId="4" fontId="27" fillId="0" borderId="71" xfId="1139" applyFont="1" applyBorder="1" applyNumberFormat="1">
      <alignment horizontal="center" vertical="center" wrapText="1"/>
    </xf>
    <xf numFmtId="49" fontId="36" fillId="0" borderId="33" xfId="1140" applyFont="1" applyBorder="1" applyNumberFormat="1">
      <alignment horizontal="left" vertical="center" wrapText="1"/>
    </xf>
    <xf numFmtId="49" fontId="27" fillId="0" borderId="54" xfId="1141" applyFont="1" applyBorder="1" applyNumberFormat="1">
      <alignment horizontal="center" vertical="center" wrapText="1"/>
    </xf>
    <xf numFmtId="4" fontId="27" fillId="38" borderId="54" xfId="656" applyFont="1" applyFill="1" applyBorder="1" applyNumberFormat="1">
      <alignment horizontal="right" vertical="center" wrapText="1"/>
      <protection locked="0"/>
    </xf>
    <xf numFmtId="4" fontId="27" fillId="0" borderId="54" xfId="1143" applyFont="1" applyBorder="1" applyNumberFormat="1">
      <alignment horizontal="center" vertical="center" wrapText="1"/>
    </xf>
    <xf numFmtId="4" fontId="27" fillId="38" borderId="53" xfId="1144" applyFont="1" applyFill="1" applyBorder="1" applyNumberFormat="1">
      <alignment horizontal="right" vertical="center" wrapText="1"/>
      <protection locked="0"/>
    </xf>
    <xf numFmtId="0" fontId="47" fillId="0" borderId="29" xfId="558" applyFont="1" applyBorder="1" applyNumberFormat="1">
      <alignment horizontal="center" vertical="center" wrapText="1"/>
    </xf>
    <xf numFmtId="0" fontId="23" fillId="0" borderId="21" xfId="1020" applyFont="1" applyBorder="1" applyNumberFormat="1">
      <alignment horizontal="center" vertical="center"/>
    </xf>
    <xf numFmtId="438" fontId="23" fillId="35" borderId="23" xfId="1021" applyFont="1" applyFill="1" applyBorder="1" applyNumberFormat="1">
      <alignment horizontal="left" vertical="center" wrapText="1" indent="1"/>
      <protection locked="0"/>
    </xf>
    <xf numFmtId="0" fontId="27" fillId="37" borderId="21" xfId="1004" applyFont="1" applyFill="1" applyBorder="1" applyNumberFormat="1">
      <alignment horizontal="left" vertical="top" wrapText="1" indent="1"/>
    </xf>
    <xf numFmtId="0" fontId="27" fillId="37" borderId="20" xfId="1005" applyFont="1" applyFill="1" applyBorder="1" applyNumberFormat="1">
      <alignment horizontal="left" vertical="top" wrapText="1" indent="1"/>
    </xf>
    <xf numFmtId="49" fontId="23" fillId="0" borderId="21" xfId="1022" applyFont="1" applyBorder="1" applyNumberFormat="1">
      <alignment horizontal="center" vertical="center"/>
    </xf>
    <xf numFmtId="0" fontId="27" fillId="41" borderId="26" xfId="1025" applyFont="1" applyFill="1" applyBorder="1" applyNumberFormat="1">
      <alignment vertical="center" wrapText="1"/>
    </xf>
    <xf numFmtId="0" fontId="27" fillId="0" borderId="20" xfId="1011" applyFont="1" applyBorder="1" applyNumberFormat="1">
      <alignment vertical="center" wrapText="1"/>
    </xf>
    <xf numFmtId="0" fontId="27" fillId="41" borderId="45" xfId="1026" applyFont="1" applyFill="1" applyBorder="1" applyNumberFormat="1">
      <alignment vertical="center" wrapText="1"/>
    </xf>
    <xf numFmtId="0" fontId="47" fillId="0" borderId="0" xfId="524" applyFont="1" applyNumberFormat="1">
      <alignment horizontal="center" vertical="center" wrapText="1"/>
    </xf>
    <xf numFmtId="0" fontId="87" fillId="0" borderId="0" xfId="1015" applyFont="1" applyNumberFormat="1">
      <alignment vertical="center" wrapText="1"/>
    </xf>
    <xf numFmtId="0" fontId="23" fillId="39" borderId="32" xfId="1155" applyFont="1" applyFill="1" applyBorder="1" applyNumberFormat="1">
      <alignment horizontal="center" vertical="center" wrapText="1"/>
    </xf>
    <xf numFmtId="0" fontId="23" fillId="0" borderId="23" xfId="770" applyFont="1" applyBorder="1" applyNumberFormat="1">
      <alignment horizontal="left" vertical="center" wrapText="1" indent="1"/>
    </xf>
    <xf numFmtId="49" fontId="27" fillId="0" borderId="21" xfId="1156" applyFont="1" applyBorder="1" applyNumberFormat="1">
      <alignment horizontal="center" vertical="center" wrapText="1"/>
    </xf>
    <xf numFmtId="0" fontId="27" fillId="41" borderId="34" xfId="1157" applyFont="1" applyFill="1" applyBorder="1" applyNumberFormat="1">
      <alignment vertical="center" wrapText="1"/>
    </xf>
    <xf numFmtId="0" fontId="27" fillId="39" borderId="19" xfId="1158" applyFont="1" applyFill="1" applyBorder="1" applyNumberFormat="1">
      <alignment vertical="center" wrapText="1"/>
    </xf>
    <xf numFmtId="49" fontId="57" fillId="0" borderId="19" xfId="1159" applyFont="1" applyBorder="1" applyNumberFormat="1">
      <alignment vertical="top"/>
    </xf>
    <xf numFmtId="0" fontId="31" fillId="39" borderId="19" xfId="1160" applyFont="1" applyFill="1" applyBorder="1" applyNumberFormat="1">
      <alignment horizontal="center" wrapText="1"/>
    </xf>
    <xf numFmtId="0" fontId="27" fillId="0" borderId="15" xfId="1161" applyFont="1" applyBorder="1" applyNumberFormat="1">
      <alignment horizontal="center" vertical="center"/>
    </xf>
    <xf numFmtId="0" fontId="27" fillId="0" borderId="16" xfId="1162" applyFont="1" applyBorder="1" applyNumberFormat="1">
      <alignment horizontal="center" vertical="center"/>
    </xf>
    <xf numFmtId="0" fontId="27" fillId="0" borderId="17" xfId="1163" applyFont="1" applyBorder="1" applyNumberFormat="1">
      <alignment horizontal="center" vertical="center"/>
    </xf>
    <xf numFmtId="0" fontId="27" fillId="0" borderId="13" xfId="1164" applyFont="1" applyBorder="1" applyNumberFormat="1">
      <alignment vertical="center" wrapText="1"/>
    </xf>
    <xf numFmtId="0" fontId="27" fillId="39" borderId="26" xfId="1165" applyFont="1" applyFill="1" applyBorder="1" applyNumberFormat="1">
      <alignment vertical="center" wrapText="1"/>
    </xf>
    <xf numFmtId="0" fontId="44" fillId="0" borderId="19" xfId="1166" applyFont="1" applyBorder="1" applyNumberFormat="1">
      <alignment vertical="center" wrapText="1"/>
    </xf>
    <xf numFmtId="0" fontId="27" fillId="0" borderId="72" xfId="1167" applyFont="1" applyBorder="1" applyNumberFormat="1">
      <alignment horizontal="center" vertical="center"/>
    </xf>
    <xf numFmtId="0" fontId="27" fillId="0" borderId="44" xfId="1168" applyFont="1" applyBorder="1" applyNumberFormat="1">
      <alignment horizontal="center" vertical="center"/>
    </xf>
    <xf numFmtId="0" fontId="27" fillId="0" borderId="13" xfId="1169" applyFont="1" applyBorder="1" applyNumberFormat="1">
      <alignment vertical="center"/>
    </xf>
    <xf numFmtId="49" fontId="23" fillId="0" borderId="32" xfId="1170" applyFont="1" applyBorder="1" applyNumberFormat="1">
      <alignment horizontal="center" vertical="center" wrapText="1"/>
    </xf>
    <xf numFmtId="49" fontId="27" fillId="0" borderId="28" xfId="1171" applyFont="1" applyBorder="1" applyNumberFormat="1">
      <alignment vertical="top"/>
    </xf>
    <xf numFmtId="49" fontId="23" fillId="0" borderId="42" xfId="1172" applyFont="1" applyBorder="1" applyNumberFormat="1">
      <alignment horizontal="center" vertical="center" wrapText="1"/>
    </xf>
    <xf numFmtId="0" fontId="23" fillId="37" borderId="23" xfId="784" applyFont="1" applyFill="1" applyBorder="1" applyNumberFormat="1">
      <alignment horizontal="center" vertical="center" wrapText="1"/>
    </xf>
    <xf numFmtId="49" fontId="23" fillId="0" borderId="30" xfId="1173" applyFont="1" applyBorder="1" applyNumberFormat="1">
      <alignment horizontal="center" vertical="center" wrapText="1"/>
    </xf>
    <xf numFmtId="49" fontId="23" fillId="37" borderId="23" xfId="1174" applyFont="1" applyFill="1" applyBorder="1" applyNumberFormat="1">
      <alignment horizontal="center" vertical="center"/>
    </xf>
    <xf numFmtId="0" fontId="27" fillId="0" borderId="28" xfId="611" applyFont="1" applyBorder="1" applyNumberFormat="1">
      <alignment vertical="center" wrapText="1"/>
    </xf>
    <xf numFmtId="4" fontId="23" fillId="37" borderId="23" xfId="713" applyFont="1" applyFill="1" applyBorder="1" applyNumberFormat="1">
      <alignment horizontal="right" vertical="center" wrapText="1"/>
    </xf>
    <xf numFmtId="4" fontId="23" fillId="35" borderId="23" xfId="1175" applyFont="1" applyFill="1" applyBorder="1" applyNumberFormat="1">
      <alignment horizontal="right" vertical="center" wrapText="1"/>
      <protection locked="0"/>
    </xf>
    <xf numFmtId="49" fontId="23" fillId="0" borderId="23" xfId="1176" applyFont="1" applyBorder="1" applyNumberFormat="1">
      <alignment horizontal="left" vertical="center" wrapText="1" indent="3"/>
    </xf>
    <xf numFmtId="49" fontId="49" fillId="0" borderId="0" xfId="1177" applyFont="1" applyNumberFormat="1">
      <alignment vertical="center"/>
    </xf>
    <xf numFmtId="49" fontId="49" fillId="0" borderId="0" xfId="1178" applyFont="1" applyNumberFormat="1">
      <alignment vertical="center" wrapText="1"/>
    </xf>
    <xf numFmtId="49" fontId="27" fillId="39" borderId="0" xfId="1179" applyFont="1" applyFill="1" applyNumberFormat="1">
      <alignment horizontal="center" vertical="top" wrapText="1"/>
    </xf>
    <xf numFmtId="0" fontId="27" fillId="0" borderId="27" xfId="1180" applyFont="1" applyBorder="1" applyNumberFormat="1">
      <alignment horizontal="left" vertical="top" wrapText="1"/>
    </xf>
    <xf numFmtId="49" fontId="27" fillId="0" borderId="0" xfId="1181" applyFont="1" applyNumberFormat="1">
      <alignment horizontal="center" vertical="top" wrapText="1"/>
    </xf>
    <xf numFmtId="49" fontId="27" fillId="0" borderId="0" xfId="1182" applyFont="1" applyNumberFormat="1">
      <alignment horizontal="center" vertical="center" wrapText="1"/>
    </xf>
    <xf numFmtId="49" fontId="49" fillId="0" borderId="0" xfId="1183" applyFont="1" applyNumberFormat="1">
      <alignment horizontal="center" vertical="center" wrapText="1"/>
    </xf>
    <xf numFmtId="0" fontId="27" fillId="45" borderId="21" xfId="1184" applyFont="1" applyFill="1" applyBorder="1" applyNumberFormat="1">
      <alignment horizontal="center" vertical="center" wrapText="1"/>
    </xf>
    <xf numFmtId="0" fontId="27" fillId="45" borderId="25" xfId="1185" applyFont="1" applyFill="1" applyBorder="1" applyNumberFormat="1">
      <alignment horizontal="center" vertical="center" wrapText="1"/>
    </xf>
    <xf numFmtId="0" fontId="27" fillId="45" borderId="20" xfId="1186" applyFont="1" applyFill="1" applyBorder="1" applyNumberFormat="1">
      <alignment horizontal="center" vertical="center" wrapText="1"/>
    </xf>
    <xf numFmtId="49" fontId="37" fillId="44" borderId="21" xfId="1187" applyFont="1" applyFill="1" applyBorder="1" applyNumberFormat="1">
      <alignment horizontal="center" vertical="center" wrapText="1"/>
    </xf>
    <xf numFmtId="49" fontId="37" fillId="44" borderId="25" xfId="1188" applyFont="1" applyFill="1" applyBorder="1" applyNumberFormat="1">
      <alignment horizontal="center" vertical="center" wrapText="1"/>
    </xf>
    <xf numFmtId="49" fontId="37" fillId="44" borderId="20" xfId="1189" applyFont="1" applyFill="1" applyBorder="1" applyNumberFormat="1">
      <alignment horizontal="center" vertical="center" wrapText="1"/>
    </xf>
    <xf numFmtId="49" fontId="37" fillId="46" borderId="21" xfId="1190" applyFont="1" applyFill="1" applyBorder="1" applyNumberFormat="1">
      <alignment horizontal="center" vertical="center" wrapText="1"/>
    </xf>
    <xf numFmtId="49" fontId="37" fillId="46" borderId="25" xfId="1191" applyFont="1" applyFill="1" applyBorder="1" applyNumberFormat="1">
      <alignment horizontal="center" vertical="center" wrapText="1"/>
    </xf>
    <xf numFmtId="49" fontId="37" fillId="46" borderId="20" xfId="1192" applyFont="1" applyFill="1" applyBorder="1" applyNumberFormat="1">
      <alignment horizontal="center" vertical="center" wrapText="1"/>
    </xf>
    <xf numFmtId="49" fontId="27" fillId="47" borderId="21" xfId="1193" applyFont="1" applyFill="1" applyBorder="1" applyNumberFormat="1">
      <alignment horizontal="center" vertical="center" wrapText="1"/>
    </xf>
    <xf numFmtId="49" fontId="27" fillId="47" borderId="25" xfId="1194" applyFont="1" applyFill="1" applyBorder="1" applyNumberFormat="1">
      <alignment horizontal="center" vertical="center" wrapText="1"/>
    </xf>
    <xf numFmtId="49" fontId="27" fillId="43" borderId="26" xfId="1195" applyFont="1" applyFill="1" applyBorder="1" applyNumberFormat="1">
      <alignment horizontal="center" vertical="center" wrapText="1"/>
    </xf>
    <xf numFmtId="49" fontId="27" fillId="43" borderId="0" xfId="1196" applyFont="1" applyFill="1" applyNumberFormat="1">
      <alignment horizontal="center" vertical="center" wrapText="1"/>
    </xf>
    <xf numFmtId="49" fontId="27" fillId="0" borderId="25" xfId="1197" applyFont="1" applyBorder="1" applyNumberFormat="1">
      <alignment horizontal="center" vertical="center" wrapText="1"/>
    </xf>
    <xf numFmtId="49" fontId="49" fillId="39" borderId="0" xfId="1198" applyFont="1" applyFill="1" applyNumberFormat="1">
      <alignment vertical="center" wrapText="1"/>
    </xf>
    <xf numFmtId="49" fontId="27" fillId="43" borderId="23" xfId="1199" applyFont="1" applyFill="1" applyBorder="1" applyNumberFormat="1">
      <alignment horizontal="center" vertical="center" wrapText="1"/>
    </xf>
    <xf numFmtId="0" fontId="27" fillId="43" borderId="23" xfId="1200" applyFont="1" applyFill="1" applyBorder="1" applyNumberFormat="1">
      <alignment horizontal="center" vertical="center" wrapText="1"/>
    </xf>
    <xf numFmtId="0" fontId="27" fillId="43" borderId="21" xfId="1201" applyFont="1" applyFill="1" applyBorder="1" applyNumberFormat="1">
      <alignment horizontal="center" vertical="center" wrapText="1"/>
    </xf>
    <xf numFmtId="0" fontId="27" fillId="39" borderId="20" xfId="798" applyFont="1" applyFill="1" applyBorder="1" applyNumberFormat="1">
      <alignment horizontal="center" vertical="center" wrapText="1"/>
    </xf>
    <xf numFmtId="0" fontId="27" fillId="43" borderId="20" xfId="1202" applyFont="1" applyFill="1" applyBorder="1" applyNumberFormat="1">
      <alignment horizontal="center" vertical="center" wrapText="1"/>
    </xf>
    <xf numFmtId="49" fontId="27" fillId="43" borderId="45" xfId="1203" applyFont="1" applyFill="1" applyBorder="1" applyNumberFormat="1">
      <alignment horizontal="center" vertical="center" wrapText="1"/>
    </xf>
    <xf numFmtId="49" fontId="49" fillId="39" borderId="0" xfId="671" applyFont="1" applyFill="1" applyNumberFormat="1">
      <alignment vertical="center"/>
    </xf>
    <xf numFmtId="49" fontId="47" fillId="0" borderId="23" xfId="1204" applyFont="1" applyBorder="1" applyNumberFormat="1">
      <alignment horizontal="center" vertical="center"/>
    </xf>
    <xf numFmtId="49" fontId="47" fillId="43" borderId="23" xfId="1205" applyFont="1" applyFill="1" applyBorder="1" applyNumberFormat="1">
      <alignment horizontal="center" vertical="center"/>
    </xf>
    <xf numFmtId="0" fontId="47" fillId="0" borderId="23" xfId="1206" applyFont="1" applyBorder="1" applyNumberFormat="1">
      <alignment horizontal="center" vertical="center"/>
    </xf>
    <xf numFmtId="49" fontId="47" fillId="0" borderId="30" xfId="1207" applyFont="1" applyBorder="1" applyNumberFormat="1">
      <alignment horizontal="center" vertical="center"/>
    </xf>
    <xf numFmtId="49" fontId="37" fillId="0" borderId="32" xfId="1208" applyFont="1" applyBorder="1" applyNumberFormat="1">
      <alignment horizontal="center" vertical="center"/>
    </xf>
    <xf numFmtId="0" fontId="27" fillId="0" borderId="32" xfId="1209" applyFont="1" applyBorder="1" applyNumberFormat="1">
      <alignment horizontal="right" vertical="center"/>
    </xf>
    <xf numFmtId="0" fontId="27" fillId="0" borderId="32" xfId="1210" applyFont="1" applyBorder="1" applyNumberFormat="1">
      <alignment horizontal="center" vertical="center"/>
    </xf>
    <xf numFmtId="0" fontId="27" fillId="0" borderId="23" xfId="678" applyFont="1" applyBorder="1" applyNumberFormat="1">
      <alignment horizontal="right" vertical="center"/>
    </xf>
    <xf numFmtId="4" fontId="49" fillId="39" borderId="0" xfId="1211" applyFont="1" applyFill="1" applyNumberFormat="1">
      <alignment vertical="center"/>
    </xf>
    <xf numFmtId="49" fontId="92" fillId="0" borderId="0" xfId="1212" applyFont="1" applyNumberFormat="1">
      <alignment vertical="center" wrapText="1"/>
    </xf>
    <xf numFmtId="49" fontId="47" fillId="0" borderId="0" xfId="1008" applyFont="1" applyNumberFormat="1">
      <alignment horizontal="center" vertical="center" wrapText="1"/>
    </xf>
    <xf numFmtId="3" fontId="27" fillId="38" borderId="21" xfId="1016" applyFont="1" applyFill="1" applyBorder="1" applyNumberFormat="1">
      <alignment vertical="center" wrapText="1"/>
      <protection locked="0"/>
    </xf>
    <xf numFmtId="4" fontId="27" fillId="37" borderId="21" xfId="1018" applyFont="1" applyFill="1" applyBorder="1" applyNumberFormat="1">
      <alignment horizontal="right" vertical="center" wrapText="1"/>
    </xf>
    <xf numFmtId="0" fontId="37" fillId="0" borderId="23" xfId="1019" applyFont="1" applyBorder="1" applyNumberFormat="1">
      <alignment vertical="top" wrapText="1"/>
    </xf>
    <xf numFmtId="0" fontId="23" fillId="0" borderId="23" xfId="716" applyFont="1" applyBorder="1" applyNumberFormat="1">
      <alignment vertical="center" wrapText="1"/>
    </xf>
    <xf numFmtId="0" fontId="23" fillId="38" borderId="23" xfId="771" applyFont="1" applyFill="1" applyBorder="1" applyNumberFormat="1">
      <alignment horizontal="left" vertical="center" wrapText="1" indent="2"/>
      <protection locked="0"/>
    </xf>
    <xf numFmtId="49" fontId="78" fillId="41" borderId="25" xfId="775" applyFont="1" applyFill="1" applyBorder="1" applyNumberFormat="1">
      <alignment horizontal="center" vertical="top"/>
    </xf>
    <xf numFmtId="49" fontId="56" fillId="0" borderId="23" xfId="776" applyFont="1" applyBorder="1" applyNumberFormat="1">
      <alignment horizontal="center" vertical="center" wrapText="1"/>
    </xf>
    <xf numFmtId="0" fontId="56" fillId="0" borderId="23" xfId="777" applyFont="1" applyBorder="1" applyNumberFormat="1">
      <alignment horizontal="left" vertical="center" wrapText="1" indent="2"/>
    </xf>
    <xf numFmtId="49" fontId="79" fillId="0" borderId="21" xfId="778" applyFont="1" applyBorder="1" applyNumberFormat="1">
      <alignment horizontal="left" vertical="center" wrapText="1"/>
    </xf>
    <xf numFmtId="0" fontId="27" fillId="0" borderId="32" xfId="779" applyFont="1" applyBorder="1" applyNumberFormat="1">
      <alignment vertical="top" wrapText="1"/>
    </xf>
    <xf numFmtId="0" fontId="23" fillId="38" borderId="23" xfId="714" applyFont="1" applyFill="1" applyBorder="1" applyNumberFormat="1">
      <alignment horizontal="left" vertical="center" wrapText="1"/>
      <protection locked="0"/>
    </xf>
    <xf numFmtId="0" fontId="23" fillId="0" borderId="23" xfId="991" applyFont="1" applyBorder="1" applyNumberFormat="1">
      <alignment horizontal="left" vertical="center" wrapText="1" indent="2"/>
    </xf>
    <xf numFmtId="438" fontId="23" fillId="38" borderId="23" xfId="992" applyFont="1" applyFill="1" applyBorder="1" applyNumberFormat="1">
      <alignment horizontal="left" vertical="center" wrapText="1"/>
      <protection locked="0"/>
    </xf>
    <xf numFmtId="49" fontId="37" fillId="0" borderId="0" xfId="570" applyFont="1" applyNumberFormat="1">
      <alignment vertical="top"/>
    </xf>
    <xf numFmtId="438" fontId="23" fillId="38" borderId="20" xfId="785" applyFont="1" applyFill="1" applyBorder="1" applyNumberFormat="1">
      <alignment horizontal="left" vertical="center" wrapText="1"/>
      <protection locked="0"/>
    </xf>
    <xf numFmtId="438" fontId="23" fillId="38" borderId="21" xfId="786" applyFont="1" applyFill="1" applyBorder="1" applyNumberFormat="1">
      <alignment horizontal="left" vertical="center" wrapText="1"/>
      <protection locked="0"/>
    </xf>
    <xf numFmtId="0" fontId="27" fillId="0" borderId="25" xfId="791" applyFont="1" applyBorder="1" applyNumberFormat="1">
      <alignment horizontal="left" vertical="top" wrapText="1" indent="1"/>
    </xf>
    <xf numFmtId="0" fontId="23" fillId="39" borderId="21" xfId="793" applyFont="1" applyFill="1" applyBorder="1" applyNumberFormat="1">
      <alignment horizontal="right" vertical="center" wrapText="1" indent="1"/>
    </xf>
    <xf numFmtId="49" fontId="47" fillId="39" borderId="26" xfId="800" applyFont="1" applyFill="1" applyBorder="1" applyNumberFormat="1">
      <alignment horizontal="center" vertical="center" wrapText="1"/>
    </xf>
    <xf numFmtId="49" fontId="23" fillId="39" borderId="32" xfId="801" applyFont="1" applyFill="1" applyBorder="1" applyNumberFormat="1">
      <alignment horizontal="center" vertical="center" wrapText="1"/>
    </xf>
    <xf numFmtId="0" fontId="23" fillId="0" borderId="32" xfId="802" applyFont="1" applyBorder="1" applyNumberFormat="1">
      <alignment horizontal="left" vertical="center" wrapText="1"/>
    </xf>
    <xf numFmtId="0" fontId="70" fillId="39" borderId="0" xfId="803" applyFont="1" applyFill="1" applyNumberFormat="1">
      <alignment horizontal="center" vertical="top" wrapText="1"/>
    </xf>
    <xf numFmtId="0" fontId="23" fillId="37" borderId="21" xfId="804" applyFont="1" applyFill="1" applyBorder="1" applyNumberFormat="1">
      <alignment horizontal="left" vertical="center" wrapText="1" indent="1"/>
    </xf>
    <xf numFmtId="49" fontId="48" fillId="41" borderId="45" xfId="805" applyFont="1" applyFill="1" applyBorder="1" applyNumberFormat="1">
      <alignment horizontal="left" vertical="center" indent="2"/>
    </xf>
    <xf numFmtId="0" fontId="70" fillId="39" borderId="29" xfId="806" applyFont="1" applyFill="1" applyBorder="1" applyNumberFormat="1">
      <alignment horizontal="center" vertical="top" wrapText="1"/>
    </xf>
    <xf numFmtId="49" fontId="23" fillId="39" borderId="30" xfId="807" applyFont="1" applyFill="1" applyBorder="1" applyNumberFormat="1">
      <alignment horizontal="center" vertical="center" wrapText="1"/>
    </xf>
    <xf numFmtId="0" fontId="23" fillId="37" borderId="30" xfId="808" applyFont="1" applyFill="1" applyBorder="1" applyNumberFormat="1">
      <alignment horizontal="left" vertical="center" wrapText="1" indent="1"/>
    </xf>
    <xf numFmtId="49" fontId="23" fillId="39" borderId="21" xfId="810" applyFont="1" applyFill="1" applyBorder="1" applyNumberFormat="1">
      <alignment horizontal="center" vertical="center" wrapText="1"/>
    </xf>
    <xf numFmtId="49" fontId="27" fillId="0" borderId="26" xfId="812" applyFont="1" applyBorder="1" applyNumberFormat="1">
      <alignment vertical="top"/>
    </xf>
    <xf numFmtId="49" fontId="27" fillId="0" borderId="0" xfId="813" applyFont="1" applyNumberFormat="1">
      <alignment vertical="top" wrapText="1"/>
    </xf>
    <xf numFmtId="0" fontId="27" fillId="0" borderId="26" xfId="1000" applyFont="1" applyBorder="1" applyNumberFormat="1">
      <alignment horizontal="left" vertical="top" wrapText="1"/>
    </xf>
    <xf numFmtId="3" fontId="27" fillId="0" borderId="21" xfId="1009" applyFont="1" applyBorder="1" applyNumberFormat="1">
      <alignment vertical="center" wrapText="1"/>
    </xf>
    <xf numFmtId="4" fontId="27" fillId="0" borderId="21" xfId="1013" applyFont="1" applyBorder="1" applyNumberFormat="1">
      <alignment horizontal="right" vertical="center" wrapText="1"/>
    </xf>
    <xf numFmtId="49" fontId="28" fillId="44" borderId="0" xfId="482" applyFont="1" applyFill="1" applyNumberFormat="1">
      <alignment horizontal="center" vertical="center"/>
    </xf>
    <xf numFmtId="49" fontId="27" fillId="0" borderId="23" xfId="483" applyFont="1" applyBorder="1" applyNumberFormat="1">
      <alignment horizontal="center" vertical="top"/>
    </xf>
    <xf numFmtId="49" fontId="37" fillId="44" borderId="0" xfId="484" applyFont="1" applyFill="1" applyNumberFormat="1">
      <alignment horizontal="center" vertical="center" wrapText="1"/>
    </xf>
    <xf numFmtId="0" fontId="23" fillId="45" borderId="23" xfId="485" applyFont="1" applyFill="1" applyBorder="1" applyNumberFormat="1">
      <alignment horizontal="center" vertical="center"/>
    </xf>
    <xf numFmtId="49" fontId="37" fillId="44" borderId="23" xfId="486" applyFont="1" applyFill="1" applyBorder="1" applyNumberFormat="1">
      <alignment horizontal="center" vertical="center"/>
    </xf>
    <xf numFmtId="49" fontId="37" fillId="46" borderId="23" xfId="487" applyFont="1" applyFill="1" applyBorder="1" applyNumberFormat="1">
      <alignment horizontal="center" vertical="center"/>
    </xf>
    <xf numFmtId="49" fontId="23" fillId="47" borderId="23" xfId="488" applyFont="1" applyFill="1" applyBorder="1" applyNumberFormat="1">
      <alignment horizontal="center" vertical="center"/>
    </xf>
    <xf numFmtId="0" fontId="27" fillId="0" borderId="23" xfId="489" applyFont="1" applyBorder="1" applyNumberFormat="1">
      <alignment vertical="center"/>
    </xf>
    <xf numFmtId="0" fontId="23" fillId="0" borderId="23" xfId="490" applyFont="1" applyBorder="1" applyNumberFormat="1">
      <alignment vertical="center"/>
    </xf>
    <xf numFmtId="0" fontId="23" fillId="0" borderId="21" xfId="491" applyFont="1" applyBorder="1" applyNumberFormat="1">
      <alignment vertical="center"/>
    </xf>
    <xf numFmtId="0" fontId="27" fillId="0" borderId="21" xfId="492" applyFont="1" applyBorder="1" applyNumberFormat="1">
      <alignment horizontal="left" vertical="center"/>
    </xf>
    <xf numFmtId="49" fontId="27" fillId="0" borderId="46" xfId="493" applyFont="1" applyBorder="1" applyNumberFormat="1">
      <alignment vertical="center"/>
    </xf>
    <xf numFmtId="49" fontId="27" fillId="0" borderId="47" xfId="494" applyFont="1" applyBorder="1" applyNumberFormat="1">
      <alignment vertical="top"/>
    </xf>
    <xf numFmtId="49" fontId="27" fillId="0" borderId="48" xfId="495" applyFont="1" applyBorder="1" applyNumberFormat="1">
      <alignment vertical="top"/>
    </xf>
    <xf numFmtId="0" fontId="23" fillId="0" borderId="20" xfId="496" applyFont="1" applyBorder="1" applyNumberFormat="1">
      <alignment vertical="center"/>
    </xf>
    <xf numFmtId="0" fontId="23" fillId="0" borderId="23" xfId="497" applyFont="1" applyBorder="1" applyNumberFormat="1">
      <alignment horizontal="right" vertical="top"/>
    </xf>
    <xf numFmtId="0" fontId="23" fillId="0" borderId="23" xfId="498" applyFont="1" applyBorder="1" applyNumberFormat="1">
      <alignment vertical="top"/>
    </xf>
    <xf numFmtId="0" fontId="27" fillId="0" borderId="20" xfId="499" applyFont="1" applyBorder="1" applyNumberFormat="1">
      <alignment vertical="center"/>
    </xf>
    <xf numFmtId="49" fontId="27" fillId="0" borderId="23" xfId="500" applyFont="1" applyBorder="1" applyNumberFormat="1">
      <alignment vertical="center"/>
    </xf>
    <xf numFmtId="0" fontId="27" fillId="0" borderId="23" xfId="502" applyFont="1" applyBorder="1" applyNumberFormat="1">
      <alignment vertical="top"/>
    </xf>
    <xf numFmtId="0" fontId="23" fillId="48" borderId="0" xfId="503" applyFont="1" applyFill="1" applyNumberFormat="1">
      <alignment horizontal="right" vertical="center"/>
    </xf>
    <xf numFmtId="0" fontId="23" fillId="48" borderId="0" xfId="504" applyFont="1" applyFill="1" applyNumberFormat="1">
      <alignment horizontal="left" vertical="center"/>
    </xf>
    <xf numFmtId="0" fontId="23" fillId="0" borderId="0" xfId="505" applyFont="1" applyNumberFormat="1">
      <alignment horizontal="right" vertical="top"/>
    </xf>
    <xf numFmtId="49" fontId="27" fillId="0" borderId="21" xfId="506" applyFont="1" applyBorder="1" applyNumberFormat="1">
      <alignment vertical="top"/>
    </xf>
    <xf numFmtId="0" fontId="67" fillId="48" borderId="0" xfId="507" applyFont="1" applyFill="1" applyNumberFormat="1">
      <alignment horizontal="left" vertical="center"/>
    </xf>
    <xf numFmtId="49" fontId="23" fillId="0" borderId="21" xfId="508" applyFont="1" applyBorder="1" applyNumberFormat="1">
      <alignment vertical="top"/>
    </xf>
    <xf numFmtId="49" fontId="27" fillId="0" borderId="23" xfId="509" applyFont="1" applyBorder="1" applyNumberFormat="1">
      <alignment horizontal="right" vertical="top"/>
    </xf>
    <xf numFmtId="0" fontId="23" fillId="0" borderId="21" xfId="510" applyFont="1" applyBorder="1" applyNumberFormat="1">
      <alignment horizontal="left" vertical="center"/>
    </xf>
    <xf numFmtId="49" fontId="27" fillId="0" borderId="32" xfId="511" applyFont="1" applyBorder="1" applyNumberFormat="1">
      <alignment horizontal="right" vertical="top"/>
    </xf>
    <xf numFmtId="0" fontId="23" fillId="0" borderId="32" xfId="512" applyFont="1" applyBorder="1" applyNumberFormat="1">
      <alignment vertical="top"/>
    </xf>
    <xf numFmtId="0" fontId="27" fillId="0" borderId="32" xfId="513" applyFont="1" applyBorder="1" applyNumberFormat="1">
      <alignment vertical="center"/>
    </xf>
    <xf numFmtId="49" fontId="27" fillId="0" borderId="49" xfId="514" applyFont="1" applyBorder="1" applyNumberFormat="1">
      <alignment horizontal="center" vertical="center"/>
    </xf>
    <xf numFmtId="49" fontId="27" fillId="0" borderId="23" xfId="515" applyFont="1" applyBorder="1" applyNumberFormat="1">
      <alignment horizontal="right" vertical="center"/>
    </xf>
    <xf numFmtId="49" fontId="27" fillId="0" borderId="23" xfId="516" applyFont="1" applyBorder="1" applyNumberFormat="1">
      <alignment vertical="top"/>
    </xf>
    <xf numFmtId="0" fontId="27" fillId="48" borderId="0" xfId="517" applyFont="1" applyFill="1" applyNumberFormat="1">
      <alignment horizontal="left" vertical="center"/>
    </xf>
    <xf numFmtId="0" fontId="23" fillId="48" borderId="50" xfId="518" applyFont="1" applyFill="1" applyBorder="1" applyNumberFormat="1">
      <alignment horizontal="center"/>
    </xf>
    <xf numFmtId="49" fontId="68" fillId="0" borderId="48" xfId="519" applyFont="1" applyBorder="1" applyNumberFormat="1">
      <alignment vertical="top"/>
    </xf>
    <xf numFmtId="49" fontId="49" fillId="49" borderId="0" xfId="520" applyFont="1" applyFill="1" applyNumberFormat="1">
      <alignment vertical="center" wrapText="1"/>
    </xf>
    <xf numFmtId="0" fontId="23" fillId="0" borderId="50" xfId="521" applyFont="1" applyBorder="1" applyNumberFormat="1">
      <alignment horizontal="center"/>
    </xf>
    <xf numFmtId="49" fontId="28" fillId="44" borderId="0" xfId="522" applyFont="1" applyFill="1" applyNumberFormat="1">
      <alignment horizontal="center" vertical="center" wrapText="1"/>
    </xf>
    <xf numFmtId="49" fontId="27" fillId="48" borderId="0" xfId="523" applyFont="1" applyFill="1" applyNumberFormat="1">
      <alignment horizontal="center" vertical="center"/>
    </xf>
    <xf numFmtId="49" fontId="23" fillId="35" borderId="49" xfId="525" applyFont="1" applyFill="1" applyBorder="1" applyNumberFormat="1">
      <alignment horizontal="left" vertical="center"/>
      <protection locked="0"/>
    </xf>
    <xf numFmtId="49" fontId="23" fillId="0" borderId="49" xfId="526" applyFont="1" applyBorder="1" applyNumberFormat="1">
      <alignment horizontal="right" vertical="center"/>
    </xf>
    <xf numFmtId="0" fontId="23" fillId="37" borderId="49" xfId="527" applyFont="1" applyFill="1" applyBorder="1" applyNumberFormat="1">
      <alignment horizontal="center" vertical="center"/>
    </xf>
    <xf numFmtId="49" fontId="23" fillId="0" borderId="49" xfId="528" applyFont="1" applyBorder="1" applyNumberFormat="1">
      <alignment horizontal="center" vertical="center"/>
    </xf>
    <xf numFmtId="0" fontId="20" fillId="0" borderId="51" xfId="529" applyFont="1" applyBorder="1" applyNumberFormat="1">
      <alignment horizontal="center" vertical="center"/>
    </xf>
    <xf numFmtId="0" fontId="23" fillId="0" borderId="51" xfId="530" applyFont="1" applyBorder="1" applyNumberFormat="1">
      <alignment horizontal="center" vertical="center"/>
    </xf>
    <xf numFmtId="49" fontId="28" fillId="44" borderId="23" xfId="531" applyFont="1" applyFill="1" applyBorder="1" applyNumberFormat="1">
      <alignment horizontal="right" vertical="center"/>
    </xf>
    <xf numFmtId="49" fontId="27" fillId="35" borderId="33" xfId="532" applyFont="1" applyFill="1" applyBorder="1" applyNumberFormat="1">
      <alignment vertical="top"/>
      <protection locked="0"/>
    </xf>
    <xf numFmtId="0" fontId="23" fillId="43" borderId="23" xfId="533" applyFont="1" applyFill="1" applyBorder="1" applyNumberFormat="1">
      <alignment horizontal="right" vertical="center"/>
    </xf>
    <xf numFmtId="49" fontId="27" fillId="43" borderId="30" xfId="534" applyFont="1" applyFill="1" applyBorder="1" applyNumberFormat="1">
      <alignment vertical="top"/>
    </xf>
    <xf numFmtId="49" fontId="27" fillId="43" borderId="23" xfId="535" applyFont="1" applyFill="1" applyBorder="1" applyNumberFormat="1">
      <alignment vertical="top"/>
    </xf>
    <xf numFmtId="49" fontId="27" fillId="0" borderId="21" xfId="537" applyFont="1" applyBorder="1" applyNumberFormat="1">
      <alignment horizontal="center" vertical="top"/>
    </xf>
    <xf numFmtId="49" fontId="27" fillId="0" borderId="20" xfId="538" applyFont="1" applyBorder="1" applyNumberFormat="1">
      <alignment horizontal="center" vertical="top"/>
    </xf>
    <xf numFmtId="0" fontId="27" fillId="37" borderId="35" xfId="539" applyFont="1" applyFill="1" applyBorder="1" applyNumberFormat="1">
      <alignment horizontal="center" vertical="top"/>
    </xf>
    <xf numFmtId="0" fontId="27" fillId="37" borderId="35" xfId="540" applyFont="1" applyFill="1" applyBorder="1" applyNumberFormat="1">
      <alignment horizontal="left" vertical="top"/>
    </xf>
    <xf numFmtId="0" fontId="23" fillId="0" borderId="52" xfId="541" applyFont="1" applyBorder="1" applyNumberFormat="1">
      <alignment horizontal="center" vertical="center"/>
    </xf>
    <xf numFmtId="0" fontId="23" fillId="0" borderId="53" xfId="542" applyFont="1" applyBorder="1" applyNumberFormat="1">
      <alignment horizontal="center" vertical="center"/>
    </xf>
    <xf numFmtId="0" fontId="27" fillId="0" borderId="23" xfId="543" applyFont="1" applyBorder="1" applyNumberFormat="1">
      <alignment horizontal="left" vertical="top"/>
    </xf>
    <xf numFmtId="0" fontId="23" fillId="0" borderId="54" xfId="544" applyFont="1" applyBorder="1" applyNumberFormat="1">
      <alignment horizontal="center" vertical="center"/>
    </xf>
    <xf numFmtId="49" fontId="28" fillId="44" borderId="21" xfId="545" applyFont="1" applyFill="1" applyBorder="1" applyNumberFormat="1">
      <alignment horizontal="right" vertical="center"/>
    </xf>
    <xf numFmtId="49" fontId="23" fillId="0" borderId="0" xfId="546" applyFont="1" applyNumberFormat="1">
      <alignment vertical="center"/>
    </xf>
    <xf numFmtId="0" fontId="23" fillId="48" borderId="0" xfId="547" applyFont="1" applyFill="1" applyNumberFormat="1">
      <alignment horizontal="right" vertical="top" wrapText="1"/>
    </xf>
    <xf numFmtId="49" fontId="27" fillId="39" borderId="23" xfId="1222" applyFont="1" applyFill="1" applyBorder="1" applyNumberFormat="1">
      <alignment horizontal="center" vertical="center"/>
    </xf>
    <xf numFmtId="0" fontId="37" fillId="39" borderId="0" xfId="1223" applyFont="1" applyFill="1" applyNumberFormat="1"/>
    <xf numFmtId="0" fontId="94" fillId="39" borderId="0" xfId="1224" applyFont="1" applyFill="1" applyNumberFormat="1"/>
    <xf numFmtId="0" fontId="44" fillId="39" borderId="0" xfId="1225" applyFont="1" applyFill="1" applyNumberFormat="1">
      <alignment horizontal="center" vertical="center" wrapText="1"/>
    </xf>
    <xf numFmtId="0" fontId="23" fillId="39" borderId="32" xfId="1226" applyFont="1" applyFill="1" applyBorder="1" applyNumberFormat="1">
      <alignment horizontal="left" vertical="top" wrapText="1"/>
    </xf>
    <xf numFmtId="0" fontId="55" fillId="39" borderId="0" xfId="1227" applyFont="1" applyFill="1" applyNumberFormat="1">
      <alignment vertical="center" wrapText="1"/>
    </xf>
    <xf numFmtId="0" fontId="44" fillId="39" borderId="23" xfId="1228" applyFont="1" applyFill="1" applyBorder="1" applyNumberFormat="1">
      <alignment horizontal="center" vertical="center"/>
    </xf>
    <xf numFmtId="0" fontId="23" fillId="39" borderId="42" xfId="1229" applyFont="1" applyFill="1" applyBorder="1" applyNumberFormat="1">
      <alignment horizontal="left" vertical="top" wrapText="1"/>
    </xf>
    <xf numFmtId="0" fontId="56" fillId="39" borderId="0" xfId="1230" applyFont="1" applyFill="1" applyNumberFormat="1"/>
    <xf numFmtId="0" fontId="23" fillId="39" borderId="30" xfId="1231" applyFont="1" applyFill="1" applyBorder="1" applyNumberFormat="1">
      <alignment horizontal="left" vertical="top" wrapText="1"/>
    </xf>
    <xf numFmtId="0" fontId="89" fillId="39" borderId="0" xfId="1232" applyFont="1" applyFill="1" applyNumberFormat="1"/>
    <xf numFmtId="0" fontId="27" fillId="39" borderId="23" xfId="1233" applyFont="1" applyFill="1" applyBorder="1" applyNumberFormat="1">
      <alignment horizontal="left" vertical="top" wrapText="1"/>
    </xf>
    <xf numFmtId="49" fontId="36" fillId="35" borderId="30" xfId="1234" applyFont="1" applyFill="1" applyBorder="1" applyNumberFormat="1">
      <alignment horizontal="left" vertical="center" wrapText="1"/>
      <protection locked="0"/>
    </xf>
    <xf numFmtId="0" fontId="27" fillId="39" borderId="23" xfId="1235" applyFont="1" applyFill="1" applyBorder="1" applyNumberFormat="1">
      <alignment vertical="top" wrapText="1"/>
    </xf>
    <xf numFmtId="14" fontId="27" fillId="38" borderId="21" xfId="1236" applyFont="1" applyFill="1" applyBorder="1" applyNumberFormat="1">
      <alignment horizontal="left" vertical="center" wrapText="1" indent="1"/>
      <protection locked="0"/>
    </xf>
    <xf numFmtId="0" fontId="37" fillId="0" borderId="42" xfId="1237" applyFont="1" applyBorder="1" applyNumberFormat="1">
      <alignment horizontal="left" vertical="center" wrapText="1" indent="1"/>
    </xf>
    <xf numFmtId="435" fontId="27" fillId="0" borderId="33" xfId="1238" applyFont="1" applyBorder="1" applyNumberFormat="1">
      <alignment horizontal="center" vertical="center" wrapText="1"/>
    </xf>
    <xf numFmtId="435" fontId="27" fillId="0" borderId="32" xfId="1239" applyFont="1" applyBorder="1" applyNumberFormat="1">
      <alignment horizontal="center" vertical="center" wrapText="1"/>
    </xf>
    <xf numFmtId="4" fontId="27" fillId="0" borderId="30" xfId="1240" applyFont="1" applyBorder="1" applyNumberFormat="1">
      <alignment horizontal="center" vertical="center" wrapText="1"/>
    </xf>
    <xf numFmtId="14" fontId="27" fillId="40" borderId="23" xfId="1241" applyFont="1" applyFill="1" applyBorder="1" applyNumberFormat="1">
      <alignment horizontal="left" vertical="center" wrapText="1"/>
    </xf>
    <xf numFmtId="14" fontId="27" fillId="38" borderId="23" xfId="1242" applyFont="1" applyFill="1" applyBorder="1" applyNumberFormat="1">
      <alignment horizontal="left" vertical="center" wrapText="1" indent="1"/>
      <protection locked="0"/>
    </xf>
    <xf numFmtId="49" fontId="31" fillId="41" borderId="35" xfId="1243" applyFont="1" applyFill="1" applyBorder="1" applyNumberFormat="1">
      <alignment horizontal="right" vertical="center" wrapText="1"/>
    </xf>
    <xf numFmtId="49" fontId="23" fillId="41" borderId="45" xfId="1244" applyFont="1" applyFill="1" applyBorder="1" applyNumberFormat="1">
      <alignment horizontal="right" vertical="center" wrapText="1"/>
    </xf>
    <xf numFmtId="49" fontId="23" fillId="41" borderId="34" xfId="1245" applyFont="1" applyFill="1" applyBorder="1" applyNumberFormat="1">
      <alignment horizontal="right" vertical="center" wrapText="1"/>
    </xf>
    <xf numFmtId="438" fontId="23" fillId="38" borderId="25" xfId="1246" applyFont="1" applyFill="1" applyBorder="1" applyNumberFormat="1">
      <alignment horizontal="left" vertical="center" wrapText="1" indent="1"/>
      <protection locked="0"/>
    </xf>
    <xf numFmtId="439" fontId="27" fillId="38" borderId="23" xfId="1247" applyFont="1" applyFill="1" applyBorder="1" applyNumberFormat="1">
      <alignment horizontal="left" vertical="center" wrapText="1" indent="1"/>
      <protection locked="0"/>
    </xf>
    <xf numFmtId="0" fontId="95" fillId="0" borderId="0" xfId="1248" applyFont="1" applyNumberFormat="1">
      <alignment vertical="center"/>
    </xf>
    <xf numFmtId="438" fontId="44" fillId="0" borderId="0" xfId="1249" applyFont="1" applyNumberFormat="1">
      <alignment horizontal="center" vertical="center" wrapText="1"/>
    </xf>
    <xf numFmtId="435" fontId="27" fillId="0" borderId="25" xfId="1250" applyFont="1" applyBorder="1" applyNumberFormat="1">
      <alignment horizontal="center" vertical="center" wrapText="1"/>
    </xf>
    <xf numFmtId="435" fontId="27" fillId="0" borderId="20" xfId="1251" applyFont="1" applyBorder="1" applyNumberFormat="1">
      <alignment horizontal="center" vertical="center" wrapText="1"/>
    </xf>
    <xf numFmtId="4" fontId="27" fillId="0" borderId="42" xfId="1252" applyFont="1" applyBorder="1" applyNumberFormat="1">
      <alignment horizontal="center" vertical="center" wrapText="1"/>
    </xf>
    <xf numFmtId="435" fontId="27" fillId="0" borderId="30" xfId="1253" applyFont="1" applyBorder="1" applyNumberFormat="1">
      <alignment horizontal="center" vertical="center" wrapText="1"/>
    </xf>
    <xf numFmtId="0" fontId="27" fillId="37" borderId="30" xfId="1254" applyFont="1" applyFill="1" applyBorder="1" applyNumberFormat="1">
      <alignment horizontal="left" vertical="center" wrapText="1" indent="1"/>
    </xf>
    <xf numFmtId="14" fontId="27" fillId="38" borderId="30" xfId="1255" applyFont="1" applyFill="1" applyBorder="1" applyNumberFormat="1">
      <alignment horizontal="left" vertical="center" wrapText="1" indent="1"/>
      <protection locked="0"/>
    </xf>
    <xf numFmtId="0" fontId="27" fillId="0" borderId="34" xfId="1256" applyFont="1" applyBorder="1" applyNumberFormat="1">
      <alignment horizontal="left" vertical="top" wrapText="1"/>
    </xf>
    <xf numFmtId="14" fontId="27" fillId="0" borderId="30" xfId="1257" applyFont="1" applyBorder="1" applyNumberFormat="1">
      <alignment horizontal="left" vertical="center" wrapText="1" indent="1"/>
    </xf>
    <xf numFmtId="49" fontId="36" fillId="41" borderId="45" xfId="1258" applyFont="1" applyFill="1" applyBorder="1" applyNumberFormat="1">
      <alignment horizontal="left" vertical="center" wrapText="1"/>
    </xf>
    <xf numFmtId="49" fontId="36" fillId="41" borderId="34" xfId="1259" applyFont="1" applyFill="1" applyBorder="1" applyNumberFormat="1">
      <alignment horizontal="left" vertical="center" wrapText="1"/>
    </xf>
    <xf numFmtId="0" fontId="27" fillId="39" borderId="42" xfId="1260" applyFont="1" applyFill="1" applyBorder="1" applyNumberFormat="1">
      <alignment vertical="center" wrapText="1"/>
    </xf>
    <xf numFmtId="0" fontId="44" fillId="0" borderId="45" xfId="1261" applyFont="1" applyBorder="1" applyNumberFormat="1">
      <alignment horizontal="center" vertical="center" wrapText="1"/>
    </xf>
    <xf numFmtId="0" fontId="27" fillId="39" borderId="28" xfId="1262" applyFont="1" applyFill="1" applyBorder="1" applyNumberFormat="1">
      <alignment vertical="center" wrapText="1"/>
    </xf>
    <xf numFmtId="0" fontId="27" fillId="0" borderId="25" xfId="1263" applyFont="1" applyBorder="1" applyNumberFormat="1">
      <alignment horizontal="left" vertical="center" wrapText="1"/>
    </xf>
    <xf numFmtId="435" fontId="49" fillId="0" borderId="26" xfId="1264" applyFont="1" applyBorder="1" applyNumberFormat="1">
      <alignment horizontal="center" vertical="center" wrapText="1"/>
    </xf>
    <xf numFmtId="435" fontId="49" fillId="0" borderId="27" xfId="1265" applyFont="1" applyBorder="1" applyNumberFormat="1">
      <alignment horizontal="center" vertical="center" wrapText="1"/>
    </xf>
    <xf numFmtId="0" fontId="46" fillId="0" borderId="0" xfId="1266" applyFont="1" applyNumberFormat="1">
      <alignment horizontal="center" vertical="center" wrapText="1"/>
    </xf>
    <xf numFmtId="435" fontId="27" fillId="0" borderId="42" xfId="1267" applyFont="1" applyBorder="1" applyNumberFormat="1">
      <alignment horizontal="center" vertical="center" wrapText="1"/>
    </xf>
    <xf numFmtId="0" fontId="27" fillId="37" borderId="34" xfId="1268" applyFont="1" applyFill="1" applyBorder="1" applyNumberFormat="1">
      <alignment horizontal="left" vertical="center" wrapText="1"/>
    </xf>
    <xf numFmtId="49" fontId="27" fillId="40" borderId="35" xfId="1269" applyFont="1" applyFill="1" applyBorder="1" applyNumberFormat="1">
      <alignment horizontal="left" vertical="center" wrapText="1"/>
    </xf>
    <xf numFmtId="49" fontId="27" fillId="38" borderId="45" xfId="1270" applyFont="1" applyFill="1" applyBorder="1" applyNumberFormat="1">
      <alignment horizontal="left" vertical="center" wrapText="1"/>
      <protection locked="0"/>
    </xf>
    <xf numFmtId="49" fontId="27" fillId="38" borderId="35" xfId="1271" applyFont="1" applyFill="1" applyBorder="1" applyNumberFormat="1">
      <alignment horizontal="left" vertical="center" wrapText="1"/>
      <protection locked="0"/>
    </xf>
    <xf numFmtId="49" fontId="27" fillId="0" borderId="23" xfId="1272" applyFont="1" applyBorder="1" applyNumberFormat="1">
      <alignment horizontal="left" vertical="top" wrapText="1"/>
    </xf>
    <xf numFmtId="49" fontId="27" fillId="40" borderId="30" xfId="757" applyFont="1" applyFill="1" applyBorder="1" applyNumberFormat="1">
      <alignment horizontal="left" vertical="center" wrapText="1"/>
    </xf>
    <xf numFmtId="49" fontId="96" fillId="0" borderId="23" xfId="1273" applyFont="1" applyBorder="1" applyNumberFormat="1">
      <alignment horizontal="left" vertical="top" wrapText="1"/>
    </xf>
    <xf numFmtId="0" fontId="93" fillId="39" borderId="0" xfId="1213" applyFont="1" applyFill="1" applyNumberFormat="1">
      <alignment horizontal="center" vertical="center" wrapText="1"/>
    </xf>
    <xf numFmtId="0" fontId="28" fillId="39" borderId="0" xfId="1214" applyFont="1" applyFill="1" applyNumberFormat="1"/>
    <xf numFmtId="49" fontId="27" fillId="0" borderId="0" xfId="1215" applyFont="1" applyNumberFormat="1">
      <alignment horizontal="left" vertical="top" wrapText="1"/>
    </xf>
    <xf numFmtId="49" fontId="50" fillId="0" borderId="0" xfId="1216" applyFont="1" applyNumberFormat="1">
      <alignment horizontal="center" vertical="center"/>
    </xf>
    <xf numFmtId="0" fontId="27" fillId="0" borderId="0" xfId="1217" applyFont="1" applyNumberFormat="1"/>
    <xf numFmtId="0" fontId="50" fillId="39" borderId="0" xfId="1218" applyFont="1" applyFill="1" applyNumberFormat="1">
      <alignment horizontal="center" vertical="center"/>
    </xf>
    <xf numFmtId="0" fontId="27" fillId="39" borderId="32" xfId="1219" applyFont="1" applyFill="1" applyBorder="1" applyNumberFormat="1">
      <alignment horizontal="center" vertical="center"/>
    </xf>
    <xf numFmtId="49" fontId="27" fillId="0" borderId="32" xfId="750" applyFont="1" applyBorder="1" applyNumberFormat="1">
      <alignment horizontal="left" vertical="center" wrapText="1"/>
    </xf>
    <xf numFmtId="49" fontId="48" fillId="41" borderId="20" xfId="1220" applyFont="1" applyFill="1" applyBorder="1" applyNumberFormat="1">
      <alignment horizontal="left" vertical="center"/>
    </xf>
    <xf numFmtId="0" fontId="50" fillId="0" borderId="0" xfId="1221" applyFont="1" applyNumberFormat="1">
      <alignment horizontal="center" vertical="center"/>
    </xf>
    <xf numFmtId="49" fontId="23" fillId="0" borderId="25" xfId="1287" applyFont="1" applyBorder="1" applyNumberFormat="1">
      <alignment horizontal="left" vertical="center" indent="1"/>
    </xf>
    <xf numFmtId="49" fontId="23" fillId="0" borderId="73" xfId="1288" applyFont="1" applyBorder="1" applyNumberFormat="1">
      <alignment horizontal="center" vertical="center"/>
    </xf>
    <xf numFmtId="49" fontId="23" fillId="50" borderId="0" xfId="549" applyFont="1" applyFill="1" applyNumberFormat="1">
      <alignment vertical="top"/>
    </xf>
    <xf numFmtId="0" fontId="50" fillId="39" borderId="0" xfId="551" applyFont="1" applyFill="1" applyNumberFormat="1">
      <alignment horizontal="center"/>
    </xf>
    <xf numFmtId="0" fontId="47" fillId="0" borderId="0" xfId="552" applyFont="1" applyNumberFormat="1">
      <alignment vertical="top" wrapText="1"/>
    </xf>
    <xf numFmtId="14" fontId="27" fillId="40" borderId="23" xfId="555" applyFont="1" applyFill="1" applyBorder="1" applyNumberFormat="1">
      <alignment horizontal="left" vertical="center" wrapText="1" indent="1"/>
    </xf>
    <xf numFmtId="49" fontId="27" fillId="37" borderId="23" xfId="556" applyFont="1" applyFill="1" applyBorder="1" applyNumberFormat="1">
      <alignment horizontal="center" vertical="center" wrapText="1"/>
    </xf>
    <xf numFmtId="49" fontId="59" fillId="50" borderId="0" xfId="557" applyFont="1" applyFill="1" applyNumberFormat="1">
      <alignment vertical="top"/>
    </xf>
    <xf numFmtId="14" fontId="54" fillId="0" borderId="32" xfId="559" applyFont="1" applyBorder="1" applyNumberFormat="1">
      <alignment horizontal="center" vertical="center" wrapText="1"/>
    </xf>
    <xf numFmtId="0" fontId="53" fillId="0" borderId="23" xfId="560" applyFont="1" applyBorder="1" applyNumberFormat="1">
      <alignment horizontal="left" vertical="center" wrapText="1" indent="1"/>
    </xf>
    <xf numFmtId="0" fontId="54" fillId="0" borderId="32" xfId="561" applyFont="1" applyBorder="1" applyNumberFormat="1">
      <alignment horizontal="center" vertical="center" wrapText="1"/>
    </xf>
    <xf numFmtId="49" fontId="53" fillId="0" borderId="23" xfId="562" applyFont="1" applyBorder="1" applyNumberFormat="1">
      <alignment horizontal="left" vertical="center" wrapText="1" indent="1"/>
    </xf>
    <xf numFmtId="14" fontId="54" fillId="0" borderId="42" xfId="563" applyFont="1" applyBorder="1" applyNumberFormat="1">
      <alignment horizontal="center" vertical="center" wrapText="1"/>
    </xf>
    <xf numFmtId="0" fontId="53" fillId="0" borderId="23" xfId="564" applyFont="1" applyBorder="1" applyNumberFormat="1">
      <alignment horizontal="left" vertical="top" indent="1"/>
    </xf>
    <xf numFmtId="0" fontId="27" fillId="39" borderId="0" xfId="565" applyFont="1" applyFill="1" applyNumberFormat="1">
      <alignment horizontal="center" vertical="top" wrapText="1"/>
    </xf>
    <xf numFmtId="0" fontId="44" fillId="39" borderId="23" xfId="567" applyFont="1" applyFill="1" applyBorder="1" applyNumberFormat="1">
      <alignment horizontal="center" vertical="center" wrapText="1"/>
    </xf>
    <xf numFmtId="14" fontId="27" fillId="40" borderId="34" xfId="568" applyFont="1" applyFill="1" applyBorder="1" applyNumberFormat="1">
      <alignment horizontal="left" vertical="center" wrapText="1"/>
    </xf>
    <xf numFmtId="49" fontId="69" fillId="38" borderId="23" xfId="569" applyFont="1" applyFill="1" applyBorder="1" applyNumberFormat="1">
      <alignment horizontal="left" vertical="center" wrapText="1"/>
      <protection locked="0"/>
    </xf>
    <xf numFmtId="0" fontId="23" fillId="38" borderId="21" xfId="574" applyFont="1" applyFill="1" applyBorder="1" applyNumberFormat="1">
      <alignment horizontal="left" vertical="center" wrapText="1" indent="2"/>
      <protection locked="0"/>
    </xf>
    <xf numFmtId="0" fontId="50" fillId="0" borderId="29" xfId="575" applyFont="1" applyBorder="1" applyNumberFormat="1">
      <alignment horizontal="center" vertical="center" wrapText="1"/>
    </xf>
    <xf numFmtId="49" fontId="27" fillId="0" borderId="23" xfId="576" applyFont="1" applyBorder="1" applyNumberFormat="1">
      <alignment horizontal="center" vertical="top" wrapText="1"/>
    </xf>
    <xf numFmtId="0" fontId="23" fillId="37" borderId="23" xfId="577" applyFont="1" applyFill="1" applyBorder="1" applyNumberFormat="1">
      <alignment horizontal="left" vertical="top" wrapText="1" indent="1"/>
    </xf>
    <xf numFmtId="49" fontId="27" fillId="40" borderId="32" xfId="578" applyFont="1" applyFill="1" applyBorder="1" applyNumberFormat="1">
      <alignment horizontal="center" vertical="top" wrapText="1"/>
    </xf>
    <xf numFmtId="438" fontId="23" fillId="38" borderId="23" xfId="579" applyFont="1" applyFill="1" applyBorder="1" applyNumberFormat="1">
      <alignment horizontal="center" vertical="top" wrapText="1"/>
      <protection locked="0"/>
    </xf>
    <xf numFmtId="438" fontId="23" fillId="35" borderId="23" xfId="580" applyFont="1" applyFill="1" applyBorder="1" applyNumberFormat="1">
      <alignment horizontal="center" vertical="top" wrapText="1"/>
      <protection locked="0"/>
    </xf>
    <xf numFmtId="49" fontId="27" fillId="40" borderId="23" xfId="581" applyFont="1" applyFill="1" applyBorder="1" applyNumberFormat="1">
      <alignment horizontal="left" vertical="top" wrapText="1"/>
    </xf>
    <xf numFmtId="49" fontId="27" fillId="38" borderId="23" xfId="582" applyFont="1" applyFill="1" applyBorder="1" applyNumberFormat="1">
      <alignment horizontal="left" vertical="top" wrapText="1"/>
      <protection locked="0"/>
    </xf>
    <xf numFmtId="49" fontId="23" fillId="37" borderId="23" xfId="583" applyFont="1" applyFill="1" applyBorder="1" applyNumberFormat="1">
      <alignment horizontal="center" vertical="top" wrapText="1"/>
    </xf>
    <xf numFmtId="0" fontId="27" fillId="37" borderId="23" xfId="584" applyFont="1" applyFill="1" applyBorder="1" applyNumberFormat="1">
      <alignment horizontal="center" vertical="top" wrapText="1"/>
    </xf>
    <xf numFmtId="0" fontId="27" fillId="35" borderId="23" xfId="585" applyFont="1" applyFill="1" applyBorder="1" applyNumberFormat="1">
      <alignment horizontal="left" vertical="top" wrapText="1"/>
      <protection locked="0"/>
    </xf>
    <xf numFmtId="49" fontId="27" fillId="40" borderId="23" xfId="586" applyFont="1" applyFill="1" applyBorder="1" applyNumberFormat="1">
      <alignment horizontal="center" vertical="top" wrapText="1"/>
    </xf>
    <xf numFmtId="49" fontId="27" fillId="38" borderId="32" xfId="587" applyFont="1" applyFill="1" applyBorder="1" applyNumberFormat="1">
      <alignment horizontal="left" vertical="center" wrapText="1" indent="1"/>
      <protection locked="0"/>
    </xf>
    <xf numFmtId="0" fontId="27" fillId="0" borderId="29" xfId="588" applyFont="1" applyBorder="1" applyNumberFormat="1">
      <alignment vertical="top" wrapText="1"/>
    </xf>
    <xf numFmtId="49" fontId="27" fillId="40" borderId="30" xfId="589" applyFont="1" applyFill="1" applyBorder="1" applyNumberFormat="1">
      <alignment horizontal="center" vertical="top" wrapText="1"/>
    </xf>
    <xf numFmtId="49" fontId="23" fillId="38" borderId="23" xfId="590" applyFont="1" applyFill="1" applyBorder="1" applyNumberFormat="1">
      <alignment horizontal="center" vertical="top" wrapText="1"/>
      <protection locked="0"/>
    </xf>
    <xf numFmtId="49" fontId="23" fillId="35" borderId="23" xfId="591" applyFont="1" applyFill="1" applyBorder="1" applyNumberFormat="1">
      <alignment horizontal="center" vertical="top" wrapText="1"/>
      <protection locked="0"/>
    </xf>
    <xf numFmtId="49" fontId="27" fillId="40" borderId="21" xfId="592" applyFont="1" applyFill="1" applyBorder="1" applyNumberFormat="1">
      <alignment horizontal="center" vertical="top" wrapText="1"/>
    </xf>
    <xf numFmtId="49" fontId="27" fillId="0" borderId="42" xfId="595" applyFont="1" applyBorder="1" applyNumberFormat="1">
      <alignment horizontal="center" vertical="top" wrapText="1"/>
    </xf>
    <xf numFmtId="0" fontId="23" fillId="37" borderId="42" xfId="596" applyFont="1" applyFill="1" applyBorder="1" applyNumberFormat="1">
      <alignment horizontal="left" vertical="top" wrapText="1" indent="1"/>
    </xf>
    <xf numFmtId="49" fontId="27" fillId="40" borderId="42" xfId="597" applyFont="1" applyFill="1" applyBorder="1" applyNumberFormat="1">
      <alignment horizontal="center" vertical="top" wrapText="1"/>
    </xf>
    <xf numFmtId="49" fontId="23" fillId="38" borderId="42" xfId="598" applyFont="1" applyFill="1" applyBorder="1" applyNumberFormat="1">
      <alignment horizontal="center" vertical="top" wrapText="1"/>
      <protection locked="0"/>
    </xf>
    <xf numFmtId="49" fontId="23" fillId="35" borderId="42" xfId="599" applyFont="1" applyFill="1" applyBorder="1" applyNumberFormat="1">
      <alignment horizontal="center" vertical="top" wrapText="1"/>
      <protection locked="0"/>
    </xf>
    <xf numFmtId="49" fontId="27" fillId="40" borderId="42" xfId="600" applyFont="1" applyFill="1" applyBorder="1" applyNumberFormat="1">
      <alignment horizontal="left" vertical="top" wrapText="1"/>
    </xf>
    <xf numFmtId="49" fontId="27" fillId="38" borderId="42" xfId="601" applyFont="1" applyFill="1" applyBorder="1" applyNumberFormat="1">
      <alignment horizontal="left" vertical="top" wrapText="1"/>
      <protection locked="0"/>
    </xf>
    <xf numFmtId="49" fontId="23" fillId="37" borderId="42" xfId="602" applyFont="1" applyFill="1" applyBorder="1" applyNumberFormat="1">
      <alignment horizontal="center" vertical="top" wrapText="1"/>
    </xf>
    <xf numFmtId="0" fontId="27" fillId="37" borderId="42" xfId="603" applyFont="1" applyFill="1" applyBorder="1" applyNumberFormat="1">
      <alignment horizontal="center" vertical="top" wrapText="1"/>
    </xf>
    <xf numFmtId="0" fontId="27" fillId="35" borderId="42" xfId="604" applyFont="1" applyFill="1" applyBorder="1" applyNumberFormat="1">
      <alignment horizontal="left" vertical="top" wrapText="1"/>
      <protection locked="0"/>
    </xf>
    <xf numFmtId="0" fontId="71" fillId="0" borderId="55" xfId="605" applyFont="1" applyBorder="1" applyNumberFormat="1">
      <alignment horizontal="left" vertical="center" indent="1"/>
    </xf>
    <xf numFmtId="0" fontId="71" fillId="0" borderId="56" xfId="606" applyFont="1" applyBorder="1" applyNumberFormat="1">
      <alignment horizontal="left" vertical="center" indent="1"/>
    </xf>
    <xf numFmtId="0" fontId="23" fillId="0" borderId="56" xfId="607" applyFont="1" applyBorder="1" applyNumberFormat="1">
      <alignment horizontal="left" vertical="center" wrapText="1"/>
    </xf>
    <xf numFmtId="0" fontId="27" fillId="0" borderId="56" xfId="608" applyFont="1" applyBorder="1" applyNumberFormat="1">
      <alignment vertical="center" wrapText="1"/>
    </xf>
    <xf numFmtId="0" fontId="27" fillId="0" borderId="57" xfId="609" applyFont="1" applyBorder="1" applyNumberFormat="1">
      <alignment vertical="center" wrapText="1"/>
    </xf>
    <xf numFmtId="0" fontId="27" fillId="0" borderId="58" xfId="610" applyFont="1" applyBorder="1" applyNumberFormat="1">
      <alignment vertical="center" wrapText="1"/>
    </xf>
    <xf numFmtId="49" fontId="37" fillId="0" borderId="20" xfId="612" applyFont="1" applyBorder="1" applyNumberFormat="1">
      <alignment horizontal="center" vertical="center" wrapText="1"/>
    </xf>
    <xf numFmtId="49" fontId="37" fillId="0" borderId="20" xfId="613" applyFont="1" applyBorder="1" applyNumberFormat="1">
      <alignment horizontal="left" vertical="center" wrapText="1"/>
    </xf>
    <xf numFmtId="49" fontId="37" fillId="0" borderId="21" xfId="614" applyFont="1" applyBorder="1" applyNumberFormat="1">
      <alignment horizontal="center" vertical="center" wrapText="1"/>
    </xf>
    <xf numFmtId="49" fontId="72" fillId="0" borderId="44" xfId="616" applyFont="1" applyBorder="1" applyNumberFormat="1">
      <alignment horizontal="left" vertical="center" indent="1"/>
    </xf>
    <xf numFmtId="49" fontId="72" fillId="0" borderId="44" xfId="617" applyFont="1" applyBorder="1" applyNumberFormat="1">
      <alignment horizontal="center" vertical="center"/>
    </xf>
    <xf numFmtId="3" fontId="37" fillId="0" borderId="23" xfId="618" applyFont="1" applyBorder="1" applyNumberFormat="1">
      <alignment horizontal="center" vertical="center" wrapText="1"/>
    </xf>
    <xf numFmtId="49" fontId="73" fillId="0" borderId="20" xfId="619" applyFont="1" applyBorder="1" applyNumberFormat="1">
      <alignment horizontal="center" vertical="center" wrapText="1"/>
    </xf>
    <xf numFmtId="0" fontId="72" fillId="0" borderId="23" xfId="620" applyFont="1" applyBorder="1" applyNumberFormat="1">
      <alignment horizontal="center" vertical="center"/>
    </xf>
    <xf numFmtId="49" fontId="37" fillId="0" borderId="32" xfId="621" applyFont="1" applyBorder="1" applyNumberFormat="1">
      <alignment horizontal="left" vertical="center" wrapText="1" indent="1"/>
    </xf>
    <xf numFmtId="49" fontId="72" fillId="0" borderId="21" xfId="622" applyFont="1" applyBorder="1" applyNumberFormat="1">
      <alignment horizontal="left" vertical="center" indent="1"/>
    </xf>
    <xf numFmtId="49" fontId="72" fillId="0" borderId="25" xfId="623" applyFont="1" applyBorder="1" applyNumberFormat="1">
      <alignment horizontal="left" vertical="center" indent="1"/>
    </xf>
    <xf numFmtId="49" fontId="72" fillId="0" borderId="25" xfId="624" applyFont="1" applyBorder="1" applyNumberFormat="1">
      <alignment vertical="top" wrapText="1"/>
    </xf>
    <xf numFmtId="49" fontId="72" fillId="0" borderId="20" xfId="625" applyFont="1" applyBorder="1" applyNumberFormat="1">
      <alignment vertical="top" wrapText="1"/>
    </xf>
    <xf numFmtId="49" fontId="37" fillId="0" borderId="42" xfId="626" applyFont="1" applyBorder="1" applyNumberFormat="1">
      <alignment horizontal="left" vertical="center" wrapText="1" indent="1"/>
    </xf>
    <xf numFmtId="0" fontId="72" fillId="0" borderId="23" xfId="627" applyFont="1" applyBorder="1" applyNumberFormat="1">
      <alignment horizontal="left" vertical="center" wrapText="1" indent="1"/>
    </xf>
    <xf numFmtId="4" fontId="37" fillId="0" borderId="49" xfId="628" applyFont="1" applyBorder="1" applyNumberFormat="1">
      <alignment horizontal="right" vertical="center" wrapText="1"/>
    </xf>
    <xf numFmtId="49" fontId="37" fillId="0" borderId="30" xfId="629" applyFont="1" applyBorder="1" applyNumberFormat="1">
      <alignment horizontal="left" vertical="center" wrapText="1" indent="1"/>
    </xf>
    <xf numFmtId="49" fontId="37" fillId="0" borderId="25" xfId="630" applyFont="1" applyBorder="1" applyNumberFormat="1">
      <alignment horizontal="left" vertical="center" indent="1"/>
    </xf>
    <xf numFmtId="49" fontId="72" fillId="0" borderId="59" xfId="631" applyFont="1" applyBorder="1" applyNumberFormat="1">
      <alignment vertical="top" wrapText="1"/>
    </xf>
    <xf numFmtId="49" fontId="72" fillId="0" borderId="59" xfId="632" applyFont="1" applyBorder="1" applyNumberFormat="1">
      <alignment horizontal="left" vertical="center" indent="1"/>
    </xf>
    <xf numFmtId="49" fontId="27" fillId="37" borderId="60" xfId="633" applyFont="1" applyFill="1" applyBorder="1" applyNumberFormat="1">
      <alignment horizontal="center" vertical="center" wrapText="1"/>
    </xf>
    <xf numFmtId="0" fontId="23" fillId="41" borderId="61" xfId="634" applyFont="1" applyFill="1" applyBorder="1" applyNumberFormat="1">
      <alignment horizontal="left" vertical="center"/>
    </xf>
    <xf numFmtId="49" fontId="48" fillId="41" borderId="62" xfId="635" applyFont="1" applyFill="1" applyBorder="1" applyNumberFormat="1">
      <alignment horizontal="left" vertical="center" indent="1"/>
    </xf>
    <xf numFmtId="0" fontId="27" fillId="41" borderId="61" xfId="636" applyFont="1" applyFill="1" applyBorder="1" applyNumberFormat="1">
      <alignment vertical="center" wrapText="1"/>
    </xf>
    <xf numFmtId="0" fontId="27" fillId="41" borderId="62" xfId="637" applyFont="1" applyFill="1" applyBorder="1" applyNumberFormat="1">
      <alignment vertical="center" wrapText="1"/>
    </xf>
    <xf numFmtId="49" fontId="23" fillId="37" borderId="42" xfId="638" applyFont="1" applyFill="1" applyBorder="1" applyNumberFormat="1">
      <alignment vertical="top"/>
    </xf>
    <xf numFmtId="49" fontId="23" fillId="0" borderId="42" xfId="639" applyFont="1" applyBorder="1" applyNumberFormat="1">
      <alignment vertical="top"/>
    </xf>
    <xf numFmtId="49" fontId="27" fillId="40" borderId="32" xfId="640" applyFont="1" applyFill="1" applyBorder="1" applyNumberFormat="1">
      <alignment vertical="center" wrapText="1"/>
    </xf>
    <xf numFmtId="49" fontId="23" fillId="38" borderId="42" xfId="641" applyFont="1" applyFill="1" applyBorder="1" applyNumberFormat="1">
      <alignment vertical="top"/>
      <protection locked="0"/>
    </xf>
    <xf numFmtId="49" fontId="74" fillId="0" borderId="23" xfId="642" applyFont="1" applyBorder="1" applyNumberFormat="1">
      <alignment horizontal="center" vertical="center" wrapText="1"/>
    </xf>
    <xf numFmtId="0" fontId="49" fillId="0" borderId="23" xfId="643" applyFont="1" applyBorder="1" applyNumberFormat="1">
      <alignment horizontal="center" vertical="center"/>
    </xf>
    <xf numFmtId="49" fontId="27" fillId="40" borderId="32" xfId="644" applyFont="1" applyFill="1" applyBorder="1" applyNumberFormat="1">
      <alignment horizontal="left" vertical="center" wrapText="1" indent="1"/>
    </xf>
    <xf numFmtId="49" fontId="75" fillId="41" borderId="21" xfId="645" applyFont="1" applyFill="1" applyBorder="1" applyNumberFormat="1">
      <alignment horizontal="left" vertical="center" indent="1"/>
    </xf>
    <xf numFmtId="49" fontId="75" fillId="41" borderId="25" xfId="646" applyFont="1" applyFill="1" applyBorder="1" applyNumberFormat="1">
      <alignment horizontal="left" vertical="center" indent="1"/>
    </xf>
    <xf numFmtId="49" fontId="49" fillId="41" borderId="25" xfId="647" applyFont="1" applyFill="1" applyBorder="1" applyNumberFormat="1">
      <alignment vertical="top" wrapText="1"/>
    </xf>
    <xf numFmtId="49" fontId="23" fillId="38" borderId="32" xfId="648" applyFont="1" applyFill="1" applyBorder="1" applyNumberFormat="1">
      <alignment vertical="top"/>
      <protection locked="0"/>
    </xf>
    <xf numFmtId="14" fontId="27" fillId="40" borderId="42" xfId="649" applyFont="1" applyFill="1" applyBorder="1" applyNumberFormat="1">
      <alignment horizontal="left" vertical="center" wrapText="1" indent="1"/>
    </xf>
    <xf numFmtId="14" fontId="27" fillId="40" borderId="28" xfId="650" applyFont="1" applyFill="1" applyBorder="1" applyNumberFormat="1">
      <alignment horizontal="left" vertical="center" wrapText="1" indent="1"/>
    </xf>
    <xf numFmtId="49" fontId="27" fillId="40" borderId="42" xfId="651" applyFont="1" applyFill="1" applyBorder="1" applyNumberFormat="1">
      <alignment vertical="center" wrapText="1"/>
    </xf>
    <xf numFmtId="49" fontId="27" fillId="40" borderId="42" xfId="652" applyFont="1" applyFill="1" applyBorder="1" applyNumberFormat="1">
      <alignment horizontal="left" vertical="center" wrapText="1" indent="1"/>
    </xf>
    <xf numFmtId="49" fontId="27" fillId="37" borderId="23" xfId="653" applyFont="1" applyFill="1" applyBorder="1" applyNumberFormat="1">
      <alignment horizontal="left" vertical="center" wrapText="1"/>
    </xf>
    <xf numFmtId="0" fontId="49" fillId="40" borderId="23" xfId="654" applyFont="1" applyFill="1" applyBorder="1" applyNumberFormat="1">
      <alignment horizontal="left" vertical="center" wrapText="1" indent="1"/>
    </xf>
    <xf numFmtId="49" fontId="27" fillId="40" borderId="30" xfId="657" applyFont="1" applyFill="1" applyBorder="1" applyNumberFormat="1">
      <alignment vertical="center" wrapText="1"/>
    </xf>
    <xf numFmtId="49" fontId="27" fillId="40" borderId="30" xfId="658" applyFont="1" applyFill="1" applyBorder="1" applyNumberFormat="1">
      <alignment horizontal="left" vertical="center" wrapText="1" indent="1"/>
    </xf>
    <xf numFmtId="49" fontId="23" fillId="38" borderId="30" xfId="659" applyFont="1" applyFill="1" applyBorder="1" applyNumberFormat="1">
      <alignment vertical="top"/>
      <protection locked="0"/>
    </xf>
    <xf numFmtId="49" fontId="74" fillId="0" borderId="42" xfId="660" applyFont="1" applyBorder="1" applyNumberFormat="1">
      <alignment horizontal="center" vertical="top" wrapText="1"/>
    </xf>
    <xf numFmtId="0" fontId="49" fillId="0" borderId="20" xfId="661" applyFont="1" applyBorder="1" applyNumberFormat="1">
      <alignment horizontal="center" vertical="center"/>
    </xf>
    <xf numFmtId="49" fontId="27" fillId="40" borderId="20" xfId="662" applyFont="1" applyFill="1" applyBorder="1" applyNumberFormat="1">
      <alignment horizontal="left" vertical="center" wrapText="1"/>
    </xf>
    <xf numFmtId="49" fontId="75" fillId="41" borderId="43" xfId="663" applyFont="1" applyFill="1" applyBorder="1" applyNumberFormat="1">
      <alignment horizontal="left" vertical="center" indent="1"/>
    </xf>
    <xf numFmtId="49" fontId="72" fillId="41" borderId="44" xfId="664" applyFont="1" applyFill="1" applyBorder="1" applyNumberFormat="1">
      <alignment horizontal="center" vertical="center"/>
    </xf>
    <xf numFmtId="49" fontId="75" fillId="41" borderId="44" xfId="665" applyFont="1" applyFill="1" applyBorder="1" applyNumberFormat="1">
      <alignment horizontal="left" vertical="center" indent="1"/>
    </xf>
    <xf numFmtId="3" fontId="27" fillId="38" borderId="23" xfId="666" applyFont="1" applyFill="1" applyBorder="1" applyNumberFormat="1">
      <alignment horizontal="center" vertical="center" wrapText="1"/>
      <protection locked="0"/>
    </xf>
    <xf numFmtId="49" fontId="27" fillId="40" borderId="21" xfId="667" applyFont="1" applyFill="1" applyBorder="1" applyNumberFormat="1">
      <alignment horizontal="center" vertical="center" wrapText="1"/>
    </xf>
    <xf numFmtId="49" fontId="49" fillId="41" borderId="20" xfId="668" applyFont="1" applyFill="1" applyBorder="1" applyNumberFormat="1">
      <alignment vertical="top" wrapText="1"/>
    </xf>
    <xf numFmtId="49" fontId="49" fillId="41" borderId="59" xfId="669" applyFont="1" applyFill="1" applyBorder="1" applyNumberFormat="1">
      <alignment vertical="top" wrapText="1"/>
    </xf>
    <xf numFmtId="49" fontId="75" fillId="41" borderId="59" xfId="670" applyFont="1" applyFill="1" applyBorder="1" applyNumberFormat="1">
      <alignment horizontal="left" vertical="center" indent="1"/>
    </xf>
    <xf numFmtId="0" fontId="71" fillId="0" borderId="63" xfId="672" applyFont="1" applyBorder="1" applyNumberFormat="1">
      <alignment horizontal="left" vertical="center" indent="1"/>
    </xf>
    <xf numFmtId="49" fontId="27" fillId="0" borderId="64" xfId="673" applyFont="1" applyBorder="1" applyNumberFormat="1">
      <alignment horizontal="center" vertical="center"/>
    </xf>
    <xf numFmtId="0" fontId="27" fillId="0" borderId="64" xfId="674" applyFont="1" applyBorder="1" applyNumberFormat="1">
      <alignment horizontal="right" vertical="center"/>
    </xf>
    <xf numFmtId="0" fontId="27" fillId="0" borderId="64" xfId="675" applyFont="1" applyBorder="1" applyNumberFormat="1">
      <alignment horizontal="center" vertical="center"/>
    </xf>
    <xf numFmtId="0" fontId="27" fillId="0" borderId="25" xfId="676" applyFont="1" applyBorder="1" applyNumberFormat="1">
      <alignment horizontal="right" vertical="center"/>
    </xf>
    <xf numFmtId="0" fontId="27" fillId="0" borderId="20" xfId="677" applyFont="1" applyBorder="1" applyNumberFormat="1">
      <alignment horizontal="right" vertical="center"/>
    </xf>
    <xf numFmtId="49" fontId="27" fillId="35" borderId="23" xfId="679" applyFont="1" applyFill="1" applyBorder="1" applyNumberFormat="1">
      <alignment horizontal="left" vertical="center" indent="1"/>
      <protection locked="0"/>
    </xf>
    <xf numFmtId="0" fontId="27" fillId="43" borderId="23" xfId="680" applyFont="1" applyFill="1" applyBorder="1" applyNumberFormat="1">
      <alignment horizontal="right" vertical="center"/>
    </xf>
    <xf numFmtId="4" fontId="27" fillId="35" borderId="23" xfId="681" applyFont="1" applyFill="1" applyBorder="1" applyNumberFormat="1">
      <alignment horizontal="right" vertical="center"/>
      <protection locked="0"/>
    </xf>
    <xf numFmtId="49" fontId="48" fillId="41" borderId="65" xfId="682" applyFont="1" applyFill="1" applyBorder="1" applyNumberFormat="1">
      <alignment horizontal="left" vertical="center" indent="1"/>
    </xf>
    <xf numFmtId="49" fontId="48" fillId="51" borderId="20" xfId="683" applyFont="1" applyFill="1" applyBorder="1" applyNumberFormat="1">
      <alignment horizontal="left" vertical="center" indent="1"/>
    </xf>
    <xf numFmtId="0" fontId="44" fillId="0" borderId="30" xfId="699" applyFont="1" applyBorder="1" applyNumberFormat="1">
      <alignment vertical="center" wrapText="1"/>
    </xf>
    <xf numFmtId="2" fontId="44" fillId="0" borderId="30" xfId="701" applyFont="1" applyBorder="1" applyNumberFormat="1">
      <alignment horizontal="center" vertical="center" wrapText="1"/>
    </xf>
    <xf numFmtId="49" fontId="44" fillId="0" borderId="21" xfId="702" applyFont="1" applyBorder="1" applyNumberFormat="1">
      <alignment horizontal="left" vertical="center"/>
    </xf>
    <xf numFmtId="49" fontId="44" fillId="0" borderId="25" xfId="703" applyFont="1" applyBorder="1" applyNumberFormat="1">
      <alignment horizontal="left" vertical="center" indent="1"/>
    </xf>
    <xf numFmtId="49" fontId="44" fillId="0" borderId="25" xfId="704" applyFont="1" applyBorder="1" applyNumberFormat="1">
      <alignment horizontal="left" vertical="center"/>
    </xf>
    <xf numFmtId="49" fontId="44" fillId="0" borderId="20" xfId="705" applyFont="1" applyBorder="1" applyNumberFormat="1">
      <alignment horizontal="left" vertical="center" indent="1"/>
    </xf>
    <xf numFmtId="0" fontId="44" fillId="0" borderId="23" xfId="706" applyFont="1" applyBorder="1" applyNumberFormat="1">
      <alignment horizontal="left" vertical="center" indent="1"/>
    </xf>
    <xf numFmtId="49" fontId="23" fillId="0" borderId="26" xfId="707" applyFont="1" applyBorder="1" applyNumberFormat="1">
      <alignment vertical="top"/>
    </xf>
    <xf numFmtId="49" fontId="50" fillId="0" borderId="32" xfId="708" applyFont="1" applyBorder="1" applyNumberFormat="1">
      <alignment horizontal="center" vertical="top" wrapText="1"/>
    </xf>
    <xf numFmtId="49" fontId="27" fillId="38" borderId="21" xfId="709" applyFont="1" applyFill="1" applyBorder="1" applyNumberFormat="1">
      <alignment horizontal="left" vertical="center" wrapText="1" indent="1"/>
      <protection locked="0"/>
    </xf>
    <xf numFmtId="49" fontId="23" fillId="0" borderId="20" xfId="711" applyFont="1" applyBorder="1" applyNumberFormat="1">
      <alignment horizontal="center" vertical="center" wrapText="1"/>
    </xf>
    <xf numFmtId="49" fontId="23" fillId="38" borderId="21" xfId="715" applyFont="1" applyFill="1" applyBorder="1" applyNumberFormat="1">
      <alignment horizontal="left" vertical="center" wrapText="1"/>
      <protection locked="0"/>
    </xf>
    <xf numFmtId="49" fontId="23" fillId="0" borderId="34" xfId="717" applyFont="1" applyBorder="1" applyNumberFormat="1">
      <alignment horizontal="center" vertical="center" wrapText="1"/>
    </xf>
    <xf numFmtId="49" fontId="23" fillId="41" borderId="35" xfId="719" applyFont="1" applyFill="1" applyBorder="1" applyNumberFormat="1">
      <alignment horizontal="center" vertical="center"/>
    </xf>
    <xf numFmtId="49" fontId="23" fillId="41" borderId="25" xfId="720" applyFont="1" applyFill="1" applyBorder="1" applyNumberFormat="1">
      <alignment horizontal="center" vertical="center"/>
    </xf>
    <xf numFmtId="49" fontId="27" fillId="0" borderId="30" xfId="721" applyFont="1" applyBorder="1" applyNumberFormat="1">
      <alignment horizontal="center" vertical="top" wrapText="1"/>
    </xf>
    <xf numFmtId="49" fontId="23" fillId="0" borderId="28" xfId="722" applyFont="1" applyBorder="1" applyNumberFormat="1">
      <alignment vertical="top"/>
    </xf>
    <xf numFmtId="49" fontId="23" fillId="0" borderId="29" xfId="723" applyFont="1" applyBorder="1" applyNumberFormat="1">
      <alignment vertical="top"/>
    </xf>
    <xf numFmtId="0" fontId="27" fillId="40" borderId="23" xfId="724" applyFont="1" applyFill="1" applyBorder="1" applyNumberFormat="1">
      <alignment horizontal="left" vertical="top" wrapText="1"/>
    </xf>
    <xf numFmtId="0" fontId="23" fillId="40" borderId="23" xfId="725" applyFont="1" applyFill="1" applyBorder="1" applyNumberFormat="1">
      <alignment horizontal="left" vertical="center" wrapText="1"/>
    </xf>
    <xf numFmtId="0" fontId="48" fillId="41" borderId="21" xfId="726" applyFont="1" applyFill="1" applyBorder="1" applyNumberFormat="1">
      <alignment horizontal="left" vertical="center"/>
    </xf>
    <xf numFmtId="0" fontId="48" fillId="41" borderId="25" xfId="727" applyFont="1" applyFill="1" applyBorder="1" applyNumberFormat="1">
      <alignment horizontal="left" vertical="center"/>
    </xf>
    <xf numFmtId="0" fontId="48" fillId="41" borderId="20" xfId="728" applyFont="1" applyFill="1" applyBorder="1" applyNumberFormat="1">
      <alignment horizontal="left" vertical="center"/>
    </xf>
    <xf numFmtId="49" fontId="23" fillId="40" borderId="23" xfId="729" applyFont="1" applyFill="1" applyBorder="1" applyNumberFormat="1">
      <alignment horizontal="left" vertical="top"/>
    </xf>
    <xf numFmtId="49" fontId="23" fillId="35" borderId="23" xfId="730" applyFont="1" applyFill="1" applyBorder="1" applyNumberFormat="1">
      <alignment horizontal="left" vertical="top"/>
      <protection locked="0"/>
    </xf>
    <xf numFmtId="49" fontId="23" fillId="40" borderId="23" xfId="731" applyFont="1" applyFill="1" applyBorder="1" applyNumberFormat="1">
      <alignment horizontal="left" vertical="center" wrapText="1"/>
    </xf>
    <xf numFmtId="0" fontId="23" fillId="41" borderId="25" xfId="732" applyFont="1" applyFill="1" applyBorder="1" applyNumberFormat="1">
      <alignment vertical="center"/>
    </xf>
    <xf numFmtId="49" fontId="23" fillId="0" borderId="42" xfId="733" applyFont="1" applyBorder="1" applyNumberFormat="1">
      <alignment horizontal="left" vertical="top"/>
    </xf>
    <xf numFmtId="49" fontId="23" fillId="40" borderId="42" xfId="734" applyFont="1" applyFill="1" applyBorder="1" applyNumberFormat="1">
      <alignment horizontal="left" vertical="top"/>
    </xf>
    <xf numFmtId="49" fontId="23" fillId="35" borderId="42" xfId="735" applyFont="1" applyFill="1" applyBorder="1" applyNumberFormat="1">
      <alignment horizontal="left" vertical="top"/>
      <protection locked="0"/>
    </xf>
    <xf numFmtId="49" fontId="27" fillId="40" borderId="0" xfId="736" applyFont="1" applyFill="1" applyNumberFormat="1">
      <alignment horizontal="center" vertical="center" wrapText="1"/>
    </xf>
    <xf numFmtId="0" fontId="48" fillId="0" borderId="42" xfId="737" applyFont="1" applyBorder="1" applyNumberFormat="1">
      <alignment horizontal="left" vertical="center"/>
    </xf>
    <xf numFmtId="49" fontId="23" fillId="40" borderId="42" xfId="738" applyFont="1" applyFill="1" applyBorder="1" applyNumberFormat="1">
      <alignment horizontal="left" vertical="center" wrapText="1"/>
    </xf>
    <xf numFmtId="0" fontId="48" fillId="35" borderId="42" xfId="739" applyFont="1" applyFill="1" applyBorder="1" applyNumberFormat="1">
      <alignment horizontal="left" vertical="center"/>
      <protection locked="0"/>
    </xf>
    <xf numFmtId="0" fontId="48" fillId="38" borderId="42" xfId="740" applyFont="1" applyFill="1" applyBorder="1" applyNumberFormat="1">
      <alignment horizontal="left" vertical="center"/>
      <protection locked="0"/>
    </xf>
    <xf numFmtId="49" fontId="44" fillId="0" borderId="21" xfId="742" applyFont="1" applyBorder="1" applyNumberFormat="1">
      <alignment horizontal="left" vertical="center" wrapText="1"/>
    </xf>
    <xf numFmtId="0" fontId="44" fillId="0" borderId="21" xfId="743" applyFont="1" applyBorder="1" applyNumberFormat="1">
      <alignment horizontal="left" vertical="center"/>
    </xf>
    <xf numFmtId="0" fontId="44" fillId="0" borderId="25" xfId="744" applyFont="1" applyBorder="1" applyNumberFormat="1">
      <alignment horizontal="left" vertical="center"/>
    </xf>
    <xf numFmtId="0" fontId="48" fillId="41" borderId="34" xfId="745" applyFont="1" applyFill="1" applyBorder="1" applyNumberFormat="1">
      <alignment horizontal="left" vertical="center"/>
    </xf>
    <xf numFmtId="49" fontId="23" fillId="35" borderId="42" xfId="746" applyFont="1" applyFill="1" applyBorder="1" applyNumberFormat="1">
      <alignment vertical="top"/>
      <protection locked="0"/>
    </xf>
    <xf numFmtId="49" fontId="27" fillId="0" borderId="42" xfId="747" applyFont="1" applyBorder="1" applyNumberFormat="1">
      <alignment horizontal="center" vertical="center"/>
    </xf>
    <xf numFmtId="49" fontId="27" fillId="0" borderId="42" xfId="748" applyFont="1" applyBorder="1" applyNumberFormat="1">
      <alignment vertical="center" wrapText="1"/>
    </xf>
    <xf numFmtId="0" fontId="27" fillId="0" borderId="29" xfId="749" applyFont="1" applyBorder="1" applyNumberFormat="1">
      <alignment horizontal="center" vertical="center"/>
    </xf>
    <xf numFmtId="49" fontId="50" fillId="0" borderId="42" xfId="751" applyFont="1" applyBorder="1" applyNumberFormat="1">
      <alignment vertical="center" wrapText="1"/>
    </xf>
    <xf numFmtId="0" fontId="27" fillId="40" borderId="32" xfId="752" applyFont="1" applyFill="1" applyBorder="1" applyNumberFormat="1">
      <alignment horizontal="left" vertical="center" wrapText="1"/>
    </xf>
    <xf numFmtId="49" fontId="27" fillId="40" borderId="32" xfId="753" applyFont="1" applyFill="1" applyBorder="1" applyNumberFormat="1">
      <alignment horizontal="left" vertical="center" wrapText="1"/>
    </xf>
    <xf numFmtId="0" fontId="27" fillId="0" borderId="42" xfId="754" applyFont="1" applyBorder="1" applyNumberFormat="1">
      <alignment horizontal="left" vertical="center" wrapText="1"/>
    </xf>
    <xf numFmtId="49" fontId="27" fillId="0" borderId="42" xfId="755" applyFont="1" applyBorder="1" applyNumberFormat="1">
      <alignment horizontal="left" vertical="center" wrapText="1"/>
    </xf>
    <xf numFmtId="0" fontId="27" fillId="40" borderId="42" xfId="756" applyFont="1" applyFill="1" applyBorder="1" applyNumberFormat="1">
      <alignment horizontal="left" vertical="center" wrapText="1"/>
    </xf>
    <xf numFmtId="0" fontId="48" fillId="0" borderId="30" xfId="758" applyFont="1" applyBorder="1" applyNumberFormat="1">
      <alignment horizontal="left" vertical="center"/>
    </xf>
    <xf numFmtId="0" fontId="48" fillId="41" borderId="33" xfId="759" applyFont="1" applyFill="1" applyBorder="1" applyNumberFormat="1">
      <alignment horizontal="left" vertical="center"/>
    </xf>
    <xf numFmtId="0" fontId="48" fillId="41" borderId="26" xfId="760" applyFont="1" applyFill="1" applyBorder="1" applyNumberFormat="1">
      <alignment horizontal="left" vertical="center"/>
    </xf>
    <xf numFmtId="0" fontId="48" fillId="41" borderId="27" xfId="761" applyFont="1" applyFill="1" applyBorder="1" applyNumberFormat="1">
      <alignment horizontal="left" vertical="center"/>
    </xf>
    <xf numFmtId="49" fontId="27" fillId="38" borderId="32" xfId="762" applyFont="1" applyFill="1" applyBorder="1" applyNumberFormat="1">
      <alignment horizontal="left" vertical="center" wrapText="1"/>
      <protection locked="0"/>
    </xf>
    <xf numFmtId="49" fontId="50" fillId="0" borderId="42" xfId="763" applyFont="1" applyBorder="1" applyNumberFormat="1">
      <alignment horizontal="center" vertical="center" wrapText="1"/>
    </xf>
    <xf numFmtId="0" fontId="48" fillId="41" borderId="33" xfId="764" applyFont="1" applyFill="1" applyBorder="1" applyNumberFormat="1">
      <alignment vertical="center"/>
    </xf>
    <xf numFmtId="49" fontId="27" fillId="35" borderId="32" xfId="765" applyFont="1" applyFill="1" applyBorder="1" applyNumberFormat="1">
      <alignment horizontal="left" vertical="center" wrapText="1"/>
      <protection locked="0"/>
    </xf>
    <xf numFmtId="49" fontId="56" fillId="41" borderId="21" xfId="766" applyFont="1" applyFill="1" applyBorder="1" applyNumberFormat="1">
      <alignment vertical="top"/>
    </xf>
    <xf numFmtId="49" fontId="56" fillId="41" borderId="25" xfId="767" applyFont="1" applyFill="1" applyBorder="1" applyNumberFormat="1">
      <alignment vertical="top"/>
    </xf>
    <xf numFmtId="49" fontId="66" fillId="0" borderId="23" xfId="437" applyFont="1" applyBorder="1" applyNumberFormat="1">
      <alignment vertical="top" wrapText="1"/>
    </xf>
    <xf numFmtId="49" fontId="33" fillId="0" borderId="23" xfId="438" applyFont="1" applyBorder="1" applyNumberFormat="1">
      <alignment horizontal="center" vertical="top" wrapText="1"/>
    </xf>
    <xf numFmtId="49" fontId="33" fillId="43" borderId="23" xfId="439" applyFont="1" applyFill="1" applyBorder="1" applyNumberFormat="1">
      <alignment horizontal="center" vertical="top"/>
    </xf>
    <xf numFmtId="49" fontId="33" fillId="0" borderId="23" xfId="440" applyFont="1" applyBorder="1" applyNumberFormat="1">
      <alignment vertical="top" wrapText="1"/>
    </xf>
    <xf numFmtId="0" fontId="33" fillId="0" borderId="23" xfId="441" applyFont="1" applyBorder="1" applyNumberFormat="1">
      <alignment vertical="top" wrapText="1"/>
    </xf>
    <xf numFmtId="49" fontId="33" fillId="0" borderId="23" xfId="442" applyFont="1" applyBorder="1" applyNumberFormat="1">
      <alignment vertical="top"/>
    </xf>
    <xf numFmtId="49" fontId="66" fillId="0" borderId="23" xfId="443" applyFont="1" applyBorder="1" applyNumberFormat="1">
      <alignment vertical="top"/>
    </xf>
    <xf numFmtId="0" fontId="66" fillId="0" borderId="23" xfId="444" applyFont="1" applyBorder="1" applyNumberFormat="1">
      <alignment vertical="top" wrapText="1"/>
    </xf>
    <xf numFmtId="49" fontId="66" fillId="0" borderId="23" xfId="445" applyFont="1" applyBorder="1" applyNumberFormat="1">
      <alignment horizontal="center" vertical="top" wrapText="1"/>
    </xf>
    <xf numFmtId="49" fontId="66" fillId="43" borderId="23" xfId="446" applyFont="1" applyFill="1" applyBorder="1" applyNumberFormat="1">
      <alignment horizontal="center" vertical="top" wrapText="1"/>
    </xf>
    <xf numFmtId="49" fontId="33" fillId="43" borderId="23" xfId="447" applyFont="1" applyFill="1" applyBorder="1" applyNumberFormat="1">
      <alignment horizontal="center" vertical="top" wrapText="1"/>
    </xf>
    <xf numFmtId="49" fontId="66" fillId="0" borderId="23" xfId="448" applyFont="1" applyBorder="1" applyNumberFormat="1">
      <alignment horizontal="left" vertical="top" wrapText="1"/>
    </xf>
    <xf numFmtId="0" fontId="33" fillId="43" borderId="23" xfId="449" applyFont="1" applyFill="1" applyBorder="1" applyNumberFormat="1">
      <alignment horizontal="center" vertical="top" wrapText="1"/>
    </xf>
    <xf numFmtId="0" fontId="66" fillId="43" borderId="23" xfId="450" applyFont="1" applyFill="1" applyBorder="1" applyNumberFormat="1">
      <alignment horizontal="right" vertical="center" wrapText="1"/>
    </xf>
    <xf numFmtId="49" fontId="66" fillId="0" borderId="21" xfId="451" applyFont="1" applyBorder="1" applyNumberFormat="1">
      <alignment horizontal="center" vertical="top" wrapText="1"/>
    </xf>
    <xf numFmtId="49" fontId="66" fillId="0" borderId="25" xfId="452" applyFont="1" applyBorder="1" applyNumberFormat="1">
      <alignment horizontal="center" vertical="top" wrapText="1"/>
    </xf>
    <xf numFmtId="49" fontId="66" fillId="0" borderId="20" xfId="453" applyFont="1" applyBorder="1" applyNumberFormat="1">
      <alignment horizontal="center" vertical="top" wrapText="1"/>
    </xf>
    <xf numFmtId="0" fontId="66" fillId="0" borderId="23" xfId="454" applyFont="1" applyBorder="1" applyNumberFormat="1">
      <alignment horizontal="left" vertical="top" wrapText="1"/>
    </xf>
    <xf numFmtId="49" fontId="66" fillId="43" borderId="23" xfId="455" applyFont="1" applyFill="1" applyBorder="1" applyNumberFormat="1">
      <alignment horizontal="left" vertical="top" wrapText="1"/>
    </xf>
    <xf numFmtId="0" fontId="66" fillId="43" borderId="23" xfId="456" applyFont="1" applyFill="1" applyBorder="1" applyNumberFormat="1">
      <alignment horizontal="center" vertical="center" wrapText="1"/>
    </xf>
    <xf numFmtId="49" fontId="66" fillId="0" borderId="32" xfId="457" applyFont="1" applyBorder="1" applyNumberFormat="1">
      <alignment horizontal="center" vertical="top" wrapText="1"/>
    </xf>
    <xf numFmtId="49" fontId="66" fillId="0" borderId="42" xfId="458" applyFont="1" applyBorder="1" applyNumberFormat="1">
      <alignment horizontal="center" vertical="top" wrapText="1"/>
    </xf>
    <xf numFmtId="0" fontId="66" fillId="0" borderId="32" xfId="459" applyFont="1" applyBorder="1" applyNumberFormat="1">
      <alignment horizontal="left" vertical="top" wrapText="1"/>
    </xf>
    <xf numFmtId="49" fontId="66" fillId="0" borderId="33" xfId="460" applyFont="1" applyBorder="1" applyNumberFormat="1">
      <alignment horizontal="center" vertical="top" wrapText="1"/>
    </xf>
    <xf numFmtId="0" fontId="66" fillId="0" borderId="20" xfId="461" applyFont="1" applyBorder="1" applyNumberFormat="1">
      <alignment horizontal="left" vertical="top" wrapText="1"/>
    </xf>
    <xf numFmtId="49" fontId="66" fillId="0" borderId="30" xfId="462" applyFont="1" applyBorder="1" applyNumberFormat="1">
      <alignment horizontal="center" vertical="top" wrapText="1"/>
    </xf>
    <xf numFmtId="49" fontId="66" fillId="0" borderId="35" xfId="463" applyFont="1" applyBorder="1" applyNumberFormat="1">
      <alignment horizontal="center" vertical="top" wrapText="1"/>
    </xf>
    <xf numFmtId="49" fontId="66" fillId="0" borderId="28" xfId="464" applyFont="1" applyBorder="1" applyNumberFormat="1">
      <alignment horizontal="center" vertical="top" wrapText="1"/>
    </xf>
    <xf numFmtId="0" fontId="66" fillId="0" borderId="32" xfId="465" applyFont="1" applyBorder="1" applyNumberFormat="1">
      <alignment vertical="top" wrapText="1"/>
    </xf>
    <xf numFmtId="49" fontId="33" fillId="0" borderId="23" xfId="466" applyFont="1" applyBorder="1" applyNumberFormat="1">
      <alignment horizontal="left" vertical="top" wrapText="1"/>
    </xf>
    <xf numFmtId="0" fontId="33" fillId="0" borderId="21" xfId="467" applyFont="1" applyBorder="1" applyNumberFormat="1">
      <alignment horizontal="center" vertical="center" wrapText="1"/>
    </xf>
    <xf numFmtId="0" fontId="33" fillId="0" borderId="21" xfId="468" applyFont="1" applyBorder="1" applyNumberFormat="1">
      <alignment horizontal="center" vertical="center"/>
    </xf>
    <xf numFmtId="49" fontId="33" fillId="0" borderId="23" xfId="469" applyFont="1" applyBorder="1" applyNumberFormat="1">
      <alignment horizontal="center" vertical="center" wrapText="1"/>
    </xf>
    <xf numFmtId="0" fontId="33" fillId="0" borderId="23" xfId="470" applyFont="1" applyBorder="1" applyNumberFormat="1">
      <alignment vertical="center" wrapText="1"/>
    </xf>
    <xf numFmtId="49" fontId="66" fillId="0" borderId="21" xfId="471" applyFont="1" applyBorder="1" applyNumberFormat="1">
      <alignment horizontal="left" vertical="top" wrapText="1"/>
    </xf>
    <xf numFmtId="0" fontId="33" fillId="0" borderId="23" xfId="472" applyFont="1" applyBorder="1" applyNumberFormat="1">
      <alignment horizontal="center" vertical="center" wrapText="1"/>
    </xf>
    <xf numFmtId="0" fontId="33" fillId="0" borderId="32" xfId="473" applyFont="1" applyBorder="1" applyNumberFormat="1">
      <alignment vertical="center" wrapText="1"/>
    </xf>
    <xf numFmtId="0" fontId="33" fillId="0" borderId="30" xfId="474" applyFont="1" applyBorder="1" applyNumberFormat="1">
      <alignment vertical="center" wrapText="1"/>
    </xf>
    <xf numFmtId="49" fontId="66" fillId="0" borderId="35" xfId="475" applyFont="1" applyBorder="1" applyNumberFormat="1">
      <alignment horizontal="left" vertical="top" wrapText="1"/>
    </xf>
    <xf numFmtId="49" fontId="66" fillId="0" borderId="20" xfId="476" applyFont="1" applyBorder="1" applyNumberFormat="1">
      <alignment horizontal="left" vertical="top" wrapText="1"/>
    </xf>
    <xf numFmtId="49" fontId="33" fillId="0" borderId="32" xfId="477" applyFont="1" applyBorder="1" applyNumberFormat="1">
      <alignment horizontal="center" vertical="center" wrapText="1"/>
    </xf>
    <xf numFmtId="49" fontId="33" fillId="0" borderId="30" xfId="478" applyFont="1" applyBorder="1" applyNumberFormat="1">
      <alignment horizontal="center" vertical="center" wrapText="1"/>
    </xf>
    <xf numFmtId="0" fontId="33" fillId="0" borderId="32" xfId="479" applyFont="1" applyBorder="1" applyNumberFormat="1">
      <alignment horizontal="center" vertical="center" wrapText="1"/>
    </xf>
    <xf numFmtId="49" fontId="66" fillId="0" borderId="42" xfId="480" applyFont="1" applyBorder="1" applyNumberFormat="1">
      <alignment horizontal="left" vertical="top" wrapText="1"/>
    </xf>
    <xf numFmtId="0" fontId="66" fillId="0" borderId="42" xfId="481" applyFont="1" applyBorder="1" applyNumberFormat="1">
      <alignment horizontal="left" vertical="top" wrapText="1"/>
    </xf>
    <xf numFmtId="0" fontId="21" fillId="0" borderId="26" xfId="973" applyFont="1" applyBorder="1" applyNumberFormat="1">
      <alignment horizontal="left" vertical="center" wrapText="1" indent="1"/>
    </xf>
    <xf numFmtId="0" fontId="21" fillId="0" borderId="45" xfId="974" applyFont="1" applyBorder="1" applyNumberFormat="1">
      <alignment horizontal="left" vertical="center" wrapText="1" indent="1"/>
    </xf>
    <xf numFmtId="4" fontId="27" fillId="37" borderId="23" xfId="975" applyFont="1" applyFill="1" applyBorder="1" applyNumberFormat="1">
      <alignment horizontal="left" vertical="center" wrapText="1"/>
    </xf>
    <xf numFmtId="49" fontId="84" fillId="41" borderId="21" xfId="976" applyFont="1" applyFill="1" applyBorder="1" applyNumberFormat="1">
      <alignment horizontal="left" vertical="center"/>
    </xf>
    <xf numFmtId="49" fontId="85" fillId="41" borderId="25" xfId="977" applyFont="1" applyFill="1" applyBorder="1" applyNumberFormat="1">
      <alignment horizontal="left" vertical="center" indent="3"/>
    </xf>
    <xf numFmtId="49" fontId="55" fillId="41" borderId="25" xfId="978" applyFont="1" applyFill="1" applyBorder="1" applyNumberFormat="1">
      <alignment horizontal="center" vertical="center" wrapText="1"/>
    </xf>
    <xf numFmtId="49" fontId="56" fillId="41" borderId="25" xfId="979" applyFont="1" applyFill="1" applyBorder="1" applyNumberFormat="1">
      <alignment horizontal="center" vertical="center" wrapText="1"/>
    </xf>
    <xf numFmtId="49" fontId="56" fillId="41" borderId="20" xfId="980" applyFont="1" applyFill="1" applyBorder="1" applyNumberFormat="1">
      <alignment horizontal="center" vertical="center" wrapText="1"/>
    </xf>
    <xf numFmtId="49" fontId="85" fillId="41" borderId="25" xfId="981" applyFont="1" applyFill="1" applyBorder="1" applyNumberFormat="1">
      <alignment horizontal="left" vertical="center" indent="2"/>
    </xf>
    <xf numFmtId="49" fontId="85" fillId="41" borderId="25" xfId="982" applyFont="1" applyFill="1" applyBorder="1" applyNumberFormat="1">
      <alignment horizontal="left" vertical="center" indent="1"/>
    </xf>
    <xf numFmtId="49" fontId="56" fillId="41" borderId="21" xfId="983" applyFont="1" applyFill="1" applyBorder="1" applyNumberFormat="1">
      <alignment horizontal="left" vertical="top"/>
    </xf>
    <xf numFmtId="49" fontId="85" fillId="41" borderId="25" xfId="984" applyFont="1" applyFill="1" applyBorder="1" applyNumberFormat="1">
      <alignment horizontal="left" vertical="center"/>
    </xf>
    <xf numFmtId="49" fontId="23" fillId="0" borderId="23" xfId="1274" applyFont="1" applyBorder="1" applyNumberFormat="1">
      <alignment horizontal="center" vertical="top"/>
    </xf>
    <xf numFmtId="49" fontId="23" fillId="0" borderId="21" xfId="1275" applyFont="1" applyBorder="1" applyNumberFormat="1">
      <alignment horizontal="center" vertical="top"/>
    </xf>
    <xf numFmtId="49" fontId="23" fillId="54" borderId="32" xfId="1276" applyFont="1" applyFill="1" applyBorder="1" applyNumberFormat="1">
      <alignment vertical="top"/>
    </xf>
    <xf numFmtId="49" fontId="23" fillId="55" borderId="23" xfId="1277" applyFont="1" applyFill="1" applyBorder="1" applyNumberFormat="1">
      <alignment vertical="top"/>
    </xf>
    <xf numFmtId="49" fontId="23" fillId="0" borderId="25" xfId="1278" applyFont="1" applyBorder="1" applyNumberFormat="1">
      <alignment horizontal="center" vertical="top"/>
    </xf>
    <xf numFmtId="49" fontId="23" fillId="3" borderId="23" xfId="1279" applyFont="1" applyFill="1" applyBorder="1" applyNumberFormat="1">
      <alignment vertical="top"/>
    </xf>
    <xf numFmtId="49" fontId="23" fillId="56" borderId="23" xfId="1280" applyFont="1" applyFill="1" applyBorder="1" applyNumberFormat="1">
      <alignment vertical="top"/>
    </xf>
    <xf numFmtId="49" fontId="23" fillId="16" borderId="32" xfId="1281" applyFont="1" applyFill="1" applyBorder="1" applyNumberFormat="1">
      <alignment vertical="top"/>
    </xf>
    <xf numFmtId="49" fontId="23" fillId="5" borderId="21" xfId="1282" applyFont="1" applyFill="1" applyBorder="1" applyNumberFormat="1">
      <alignment vertical="top"/>
    </xf>
    <xf numFmtId="49" fontId="23" fillId="5" borderId="23" xfId="1283" applyFont="1" applyFill="1" applyBorder="1" applyNumberFormat="1">
      <alignment vertical="top"/>
    </xf>
    <xf numFmtId="49" fontId="23" fillId="16" borderId="23" xfId="1284" applyFont="1" applyFill="1" applyBorder="1" applyNumberFormat="1">
      <alignment vertical="top"/>
    </xf>
    <xf numFmtId="49" fontId="23" fillId="39" borderId="0" xfId="1285" applyFont="1" applyFill="1" applyNumberFormat="1">
      <alignment vertical="top"/>
    </xf>
    <xf numFmtId="0" fontId="23" fillId="0" borderId="0" xfId="1289" applyFont="1" applyNumberFormat="1"/>
    <xf numFmtId="49" fontId="27" fillId="37" borderId="50" xfId="1286" applyFont="1" applyFill="1" applyBorder="1" applyNumberFormat="1">
      <alignment horizontal="center" vertical="top"/>
    </xf>
    <xf numFmtId="49" fontId="97" fillId="0" borderId="24" xfId="1290" applyFont="1" applyBorder="1" applyNumberFormat="1">
      <alignment vertical="top" wrapText="1"/>
    </xf>
    <xf numFmtId="0" fontId="23" fillId="0" borderId="24" xfId="1291" applyFont="1" applyBorder="1" applyNumberFormat="1">
      <alignment vertical="top" wrapText="1"/>
    </xf>
    <xf numFmtId="0" fontId="21" fillId="0" borderId="74" xfId="1292" applyFont="1" applyBorder="1" applyNumberFormat="1">
      <alignment vertical="top" wrapText="1"/>
    </xf>
    <xf numFmtId="0" fontId="23" fillId="0" borderId="23" xfId="1293" applyFont="1" applyBorder="1" applyNumberFormat="1">
      <alignment vertical="top" wrapText="1"/>
    </xf>
    <xf numFmtId="49" fontId="23" fillId="0" borderId="32" xfId="1294" applyFont="1" applyBorder="1" applyNumberFormat="1">
      <alignment vertical="top"/>
    </xf>
    <xf numFmtId="0" fontId="31" fillId="0" borderId="24" xfId="1295" applyFont="1" applyBorder="1" applyNumberFormat="1">
      <alignment vertical="center" wrapText="1"/>
    </xf>
    <xf numFmtId="0" fontId="21" fillId="0" borderId="0" xfId="1296" applyFont="1" applyNumberFormat="1">
      <alignment vertical="top" wrapText="1"/>
    </xf>
    <xf numFmtId="0" fontId="27" fillId="0" borderId="24" xfId="1297"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1" fillId="33" borderId="10" xfId="0" applyFont="1" applyFill="1" applyBorder="1" applyNumberFormat="1">
      <alignment horizontal="center" vertical="center" wrapText="1"/>
    </xf>
    <xf numFmtId="0" fontId="21" fillId="33" borderId="11" xfId="0" applyFont="1" applyFill="1" applyBorder="1" applyNumberFormat="1">
      <alignment horizontal="center" vertical="center" wrapText="1"/>
    </xf>
    <xf numFmtId="0" fontId="21" fillId="33" borderId="12" xfId="0" applyFont="1" applyFill="1" applyBorder="1" applyNumberFormat="1">
      <alignment horizontal="center" vertical="center" wrapText="1"/>
    </xf>
    <xf numFmtId="0" fontId="21" fillId="34" borderId="13" xfId="0" applyFont="1" applyFill="1" applyBorder="1" applyNumberFormat="1">
      <alignment horizontal="right" vertical="center" wrapText="1" indent="1"/>
    </xf>
    <xf numFmtId="0" fontId="21" fillId="34" borderId="14" xfId="0" applyFont="1" applyFill="1" applyBorder="1" applyNumberFormat="1">
      <alignment horizontal="right" vertical="center" wrapText="1" indent="1"/>
    </xf>
    <xf numFmtId="0" fontId="22" fillId="0" borderId="13" xfId="0" applyFont="1" applyBorder="1" applyNumberFormat="1">
      <alignment wrapText="1"/>
    </xf>
    <xf numFmtId="0" fontId="23" fillId="35" borderId="15" xfId="0" applyFont="1" applyFill="1" applyBorder="1" applyNumberFormat="1">
      <alignment horizontal="center" vertical="center" wrapText="1"/>
    </xf>
    <xf numFmtId="0" fontId="24" fillId="0" borderId="13" xfId="0" applyFont="1" applyBorder="1" applyNumberFormat="1">
      <alignment vertical="center" wrapText="1"/>
    </xf>
    <xf numFmtId="0" fontId="23" fillId="36" borderId="15" xfId="0" applyFont="1" applyFill="1" applyBorder="1" applyNumberFormat="1">
      <alignment horizontal="center" vertical="center" wrapText="1"/>
    </xf>
    <xf numFmtId="0" fontId="24" fillId="0" borderId="13" xfId="0" applyFont="1" applyBorder="1" applyNumberFormat="1">
      <alignment horizontal="left" vertical="center" wrapText="1"/>
    </xf>
    <xf numFmtId="0" fontId="23" fillId="37" borderId="15" xfId="0" applyFont="1" applyFill="1" applyBorder="1" applyNumberFormat="1">
      <alignment horizontal="center" vertical="center" wrapText="1"/>
    </xf>
    <xf numFmtId="0" fontId="23" fillId="38" borderId="15" xfId="0" applyFont="1" applyFill="1" applyBorder="1" applyNumberFormat="1">
      <alignment horizontal="center" vertical="center" wrapText="1"/>
    </xf>
    <xf numFmtId="0" fontId="21" fillId="34" borderId="0" xfId="0" applyFont="1" applyFill="1" applyNumberFormat="1">
      <alignment horizontal="right" vertical="center" wrapText="1" indent="1"/>
    </xf>
    <xf numFmtId="0" fontId="25" fillId="0" borderId="13" xfId="0" applyFont="1" applyBorder="1" applyNumberFormat="1">
      <alignment horizontal="left" vertical="center" wrapText="1"/>
    </xf>
    <xf numFmtId="0" fontId="25" fillId="0" borderId="16" xfId="0" applyFont="1" applyBorder="1" applyNumberFormat="1">
      <alignment horizontal="left" vertical="center" wrapText="1"/>
    </xf>
    <xf numFmtId="0" fontId="21" fillId="34" borderId="15" xfId="0" applyFont="1" applyFill="1" applyBorder="1" applyNumberFormat="1">
      <alignment horizontal="right" vertical="center" wrapText="1" indent="1"/>
    </xf>
    <xf numFmtId="0" fontId="21" fillId="34" borderId="17" xfId="0" applyFont="1" applyFill="1" applyBorder="1" applyNumberFormat="1">
      <alignment horizontal="right" vertical="center" wrapText="1" indent="1"/>
    </xf>
    <xf numFmtId="0" fontId="24" fillId="0" borderId="13" xfId="0" applyFont="1" applyBorder="1" applyNumberFormat="1">
      <alignment wrapText="1"/>
    </xf>
    <xf numFmtId="0" fontId="24" fillId="0" borderId="0" xfId="0" applyFont="1" applyNumberFormat="1">
      <alignment vertical="center" wrapText="1"/>
    </xf>
    <xf numFmtId="0" fontId="24" fillId="0" borderId="0" xfId="0" applyFont="1" applyNumberFormat="1">
      <alignment vertical="top" wrapText="1"/>
    </xf>
    <xf numFmtId="0" fontId="21" fillId="34" borderId="18" xfId="0" applyFont="1" applyFill="1" applyBorder="1" applyNumberFormat="1">
      <alignment horizontal="right" vertical="center" wrapText="1" indent="1"/>
    </xf>
    <xf numFmtId="0" fontId="21" fillId="34" borderId="19" xfId="0" applyFont="1" applyFill="1" applyBorder="1" applyNumberFormat="1">
      <alignment horizontal="right" vertical="center" wrapText="1" indent="1"/>
    </xf>
    <xf numFmtId="0" fontId="22" fillId="0" borderId="18" xfId="0" applyFont="1" applyBorder="1" applyNumberFormat="1">
      <alignment wrapText="1"/>
    </xf>
    <xf numFmtId="0" fontId="22" fillId="0" borderId="19" xfId="0" applyFont="1" applyBorder="1" applyNumberFormat="1">
      <alignment wrapText="1"/>
    </xf>
    <xf numFmtId="0" fontId="22" fillId="0" borderId="19" xfId="0" applyFont="1" applyBorder="1" applyNumberFormat="1">
      <alignment vertical="center" wrapText="1"/>
    </xf>
    <xf numFmtId="0" fontId="0" fillId="0" borderId="0" xfId="0" applyFont="1" applyNumberFormat="1">
      <alignment vertical="top"/>
    </xf>
    <xf numFmtId="0" fontId="26" fillId="0" borderId="0" xfId="0" applyFont="1" applyNumberFormat="1">
      <alignment vertical="center" wrapText="1"/>
    </xf>
    <xf numFmtId="0" fontId="27" fillId="0" borderId="0" xfId="0" applyFont="1" applyNumberFormat="1">
      <alignment horizontal="left" vertical="top" indent="1"/>
    </xf>
    <xf numFmtId="0" fontId="28" fillId="0" borderId="0" xfId="0" applyFont="1" applyNumberFormat="1">
      <alignment vertical="center" wrapText="1"/>
    </xf>
    <xf numFmtId="0" fontId="23" fillId="0" borderId="0" xfId="0" applyFont="1" applyNumberFormat="1">
      <alignment horizontal="left" vertical="center" indent="1"/>
    </xf>
    <xf numFmtId="0" fontId="27" fillId="0" borderId="0" xfId="0" applyFont="1" applyNumberFormat="1">
      <alignment vertical="center" wrapText="1"/>
    </xf>
    <xf numFmtId="0" fontId="29" fillId="39" borderId="0" xfId="0" applyFont="1" applyFill="1" applyNumberFormat="1">
      <alignment vertical="center" wrapText="1"/>
    </xf>
    <xf numFmtId="0" fontId="29" fillId="0" borderId="0" xfId="0" applyFont="1" applyNumberFormat="1">
      <alignment vertical="center" wrapText="1"/>
    </xf>
    <xf numFmtId="0" fontId="30" fillId="39" borderId="0" xfId="0" applyFont="1" applyFill="1" applyNumberFormat="1">
      <alignment vertical="center" wrapText="1"/>
    </xf>
    <xf numFmtId="0" fontId="27" fillId="0" borderId="20" xfId="0" applyFont="1" applyBorder="1" applyNumberFormat="1">
      <alignment horizontal="center" vertical="center" wrapText="1"/>
    </xf>
    <xf numFmtId="0" fontId="27" fillId="0" borderId="21" xfId="0" applyFont="1" applyBorder="1" applyNumberFormat="1">
      <alignment horizontal="center" vertical="center" wrapText="1"/>
    </xf>
    <xf numFmtId="0" fontId="31" fillId="39" borderId="0" xfId="0" applyFont="1" applyFill="1" applyNumberFormat="1">
      <alignment vertical="center" wrapText="1"/>
    </xf>
    <xf numFmtId="0" fontId="29" fillId="39" borderId="0" xfId="0" applyFont="1" applyFill="1" applyNumberFormat="1">
      <alignment horizontal="right" vertical="center" wrapText="1" indent="1"/>
    </xf>
    <xf numFmtId="0" fontId="32" fillId="39" borderId="0" xfId="0" applyFont="1" applyFill="1" applyNumberFormat="1">
      <alignment horizontal="center" vertical="center" wrapText="1"/>
    </xf>
    <xf numFmtId="0" fontId="27" fillId="39" borderId="22" xfId="0" applyFont="1" applyFill="1" applyBorder="1" applyNumberFormat="1">
      <alignment horizontal="right" vertical="center" wrapText="1" indent="1"/>
    </xf>
    <xf numFmtId="0" fontId="23" fillId="37" borderId="23" xfId="0" applyFont="1" applyFill="1" applyBorder="1" applyNumberFormat="1">
      <alignment horizontal="left" vertical="center" wrapText="1" indent="1"/>
    </xf>
    <xf numFmtId="0" fontId="34" fillId="39" borderId="0" xfId="0" applyFont="1" applyFill="1" applyNumberFormat="1">
      <alignment horizontal="center" vertical="center" wrapText="1"/>
    </xf>
    <xf numFmtId="0" fontId="29" fillId="39" borderId="0" xfId="0" applyFont="1" applyFill="1" applyNumberFormat="1">
      <alignment horizontal="left" vertical="center" wrapText="1" indent="1"/>
    </xf>
    <xf numFmtId="0" fontId="27" fillId="39" borderId="0" xfId="0" applyFont="1" applyFill="1" applyNumberFormat="1">
      <alignment horizontal="center" vertical="center" wrapText="1"/>
    </xf>
    <xf numFmtId="0" fontId="27" fillId="38" borderId="23" xfId="0" applyFont="1" applyFill="1" applyBorder="1" applyNumberFormat="1">
      <alignment horizontal="left" vertical="top" wrapText="1" indent="1"/>
      <protection locked="0"/>
    </xf>
    <xf numFmtId="0" fontId="27" fillId="0" borderId="0" xfId="0" applyFont="1" applyNumberFormat="1">
      <alignment horizontal="left" vertical="center" wrapText="1"/>
    </xf>
    <xf numFmtId="0" fontId="36" fillId="0" borderId="0" xfId="0" applyFont="1" applyNumberFormat="1">
      <alignment horizontal="left" vertical="center" indent="1"/>
    </xf>
    <xf numFmtId="0" fontId="37" fillId="0" borderId="0" xfId="0" applyFont="1" applyNumberFormat="1">
      <alignment vertical="center" wrapText="1"/>
    </xf>
    <xf numFmtId="0" fontId="27" fillId="39" borderId="0" xfId="0" applyFont="1" applyFill="1" applyNumberFormat="1">
      <alignment vertical="center" wrapText="1"/>
    </xf>
    <xf numFmtId="0" fontId="23" fillId="38" borderId="23" xfId="0" applyFont="1" applyFill="1" applyBorder="1" applyNumberFormat="1">
      <alignment horizontal="left" vertical="center" wrapText="1" indent="1"/>
      <protection locked="0"/>
    </xf>
    <xf numFmtId="0" fontId="23" fillId="39" borderId="0" xfId="0" applyFont="1" applyFill="1" applyNumberFormat="1">
      <alignment horizontal="right" vertical="center" wrapText="1" indent="1"/>
    </xf>
    <xf numFmtId="0" fontId="38" fillId="0" borderId="0" xfId="0" applyFont="1" applyNumberFormat="1">
      <alignment horizontal="left" vertical="center" wrapText="1"/>
    </xf>
    <xf numFmtId="0" fontId="27" fillId="39" borderId="0" xfId="0" applyFont="1" applyFill="1" applyNumberFormat="1">
      <alignment horizontal="right" vertical="center" wrapText="1" indent="1"/>
    </xf>
    <xf numFmtId="0" fontId="27" fillId="0" borderId="0" xfId="0" applyFont="1" applyNumberFormat="1">
      <alignment horizontal="center" vertical="center" wrapText="1"/>
    </xf>
    <xf numFmtId="0" fontId="38" fillId="0" borderId="0" xfId="0" applyFont="1" applyNumberFormat="1">
      <alignment vertical="center" wrapText="1"/>
    </xf>
    <xf numFmtId="0" fontId="23" fillId="39" borderId="0" xfId="0" applyFont="1" applyFill="1" applyNumberFormat="1">
      <alignment horizontal="left" vertical="center" wrapText="1" indent="1"/>
    </xf>
    <xf numFmtId="0" fontId="39" fillId="39" borderId="0" xfId="0" applyFont="1" applyFill="1" applyNumberFormat="1">
      <alignment horizontal="center" vertical="center" wrapText="1"/>
    </xf>
    <xf numFmtId="0" fontId="23" fillId="39" borderId="22" xfId="0" applyFont="1" applyFill="1" applyBorder="1" applyNumberFormat="1">
      <alignment horizontal="right" vertical="center" wrapText="1" indent="1"/>
    </xf>
    <xf numFmtId="0" fontId="27" fillId="38" borderId="23" xfId="0" applyFont="1" applyFill="1" applyBorder="1" applyNumberFormat="1">
      <alignment horizontal="left" vertical="center" wrapText="1" indent="1"/>
      <protection locked="0"/>
    </xf>
    <xf numFmtId="0" fontId="40" fillId="39" borderId="0" xfId="0" applyFont="1" applyFill="1" applyNumberFormat="1">
      <alignment horizontal="right" vertical="center" wrapText="1" indent="1"/>
    </xf>
    <xf numFmtId="0" fontId="40" fillId="39" borderId="0" xfId="0" applyFont="1" applyFill="1" applyNumberFormat="1">
      <alignment horizontal="left" vertical="center" wrapText="1" indent="1"/>
    </xf>
    <xf numFmtId="0" fontId="27" fillId="40" borderId="23" xfId="0" applyFont="1" applyFill="1" applyBorder="1" applyNumberFormat="1">
      <alignment horizontal="left" vertical="center" wrapText="1" indent="1"/>
    </xf>
    <xf numFmtId="0" fontId="27" fillId="38" borderId="23" xfId="0" applyFont="1" applyFill="1" applyBorder="1" applyNumberFormat="1">
      <alignment horizontal="left" vertical="center" wrapText="1" indent="1"/>
    </xf>
    <xf numFmtId="0" fontId="27" fillId="0" borderId="0" xfId="0" applyFont="1" applyNumberFormat="1">
      <alignment horizontal="left" vertical="center" wrapText="1" indent="4"/>
    </xf>
    <xf numFmtId="0" fontId="33" fillId="0" borderId="0" xfId="0" applyFont="1" applyNumberFormat="1">
      <alignment horizontal="left" vertical="center" wrapText="1"/>
    </xf>
    <xf numFmtId="0" fontId="28" fillId="0" borderId="0" xfId="0" applyFont="1" applyNumberFormat="1">
      <alignment horizontal="left" vertical="center" wrapText="1"/>
    </xf>
    <xf numFmtId="0" fontId="43" fillId="0" borderId="0" xfId="0" applyFont="1" applyNumberFormat="1">
      <alignment vertical="center" wrapText="1"/>
    </xf>
    <xf numFmtId="0" fontId="28" fillId="0" borderId="0" xfId="0" applyFont="1" applyNumberFormat="1">
      <alignment horizontal="center" vertical="center" wrapText="1"/>
    </xf>
    <xf numFmtId="0" fontId="44" fillId="0" borderId="0" xfId="0" applyFont="1" applyNumberFormat="1">
      <alignment horizontal="left" vertical="center" indent="1"/>
    </xf>
    <xf numFmtId="0" fontId="44" fillId="0" borderId="0" xfId="0" applyFont="1" applyNumberFormat="1">
      <alignment horizontal="center" vertical="center" wrapText="1"/>
    </xf>
    <xf numFmtId="0" fontId="44" fillId="0" borderId="0" xfId="0" applyFont="1" applyNumberFormat="1">
      <alignment horizontal="left" vertical="center" wrapText="1" indent="1"/>
    </xf>
    <xf numFmtId="0" fontId="44" fillId="0" borderId="0" xfId="0" applyFont="1" applyNumberFormat="1">
      <alignment vertical="center" wrapText="1"/>
    </xf>
    <xf numFmtId="0" fontId="45" fillId="0" borderId="0" xfId="0" applyFont="1" applyNumberFormat="1">
      <alignment vertical="center" wrapText="1"/>
    </xf>
    <xf numFmtId="0" fontId="46" fillId="0" borderId="0" xfId="0" applyFont="1" applyNumberFormat="1">
      <alignment vertical="center" wrapText="1"/>
    </xf>
    <xf numFmtId="0" fontId="27" fillId="0" borderId="25" xfId="0" applyFont="1" applyBorder="1" applyNumberFormat="1">
      <alignment horizontal="left" vertical="center" wrapText="1" indent="1"/>
    </xf>
    <xf numFmtId="0" fontId="27" fillId="0" borderId="25" xfId="0" applyFont="1" applyBorder="1" applyNumberFormat="1">
      <alignment horizontal="center" vertical="center" wrapText="1"/>
    </xf>
    <xf numFmtId="0" fontId="44" fillId="0" borderId="28" xfId="0" applyFont="1" applyBorder="1" applyNumberFormat="1">
      <alignment vertical="center"/>
    </xf>
    <xf numFmtId="0" fontId="44" fillId="0" borderId="0" xfId="0" applyFont="1" applyNumberFormat="1">
      <alignment vertical="center"/>
    </xf>
    <xf numFmtId="0" fontId="27" fillId="0" borderId="23" xfId="0" applyFont="1" applyBorder="1" applyNumberFormat="1">
      <alignment horizontal="center" vertical="center" wrapText="1"/>
    </xf>
    <xf numFmtId="0" fontId="44" fillId="0" borderId="23" xfId="0" applyFont="1" applyBorder="1" applyNumberFormat="1">
      <alignment horizontal="center" vertical="center" wrapText="1"/>
    </xf>
    <xf numFmtId="0" fontId="47" fillId="0" borderId="29" xfId="0" applyFont="1" applyBorder="1" applyNumberFormat="1">
      <alignment vertical="top" wrapText="1"/>
    </xf>
    <xf numFmtId="0" fontId="27" fillId="0" borderId="30" xfId="0" applyFont="1" applyBorder="1" applyNumberFormat="1">
      <alignment horizontal="center" vertical="center" wrapText="1"/>
    </xf>
    <xf numFmtId="0" fontId="44" fillId="0" borderId="30" xfId="0" applyFont="1" applyBorder="1" applyNumberFormat="1">
      <alignment horizontal="center" vertical="center" wrapText="1"/>
    </xf>
    <xf numFmtId="0" fontId="27" fillId="0" borderId="31" xfId="0" applyFont="1" applyBorder="1" applyNumberFormat="1">
      <alignment vertical="center" wrapText="1"/>
    </xf>
    <xf numFmtId="0" fontId="49" fillId="0" borderId="0" xfId="0" applyFont="1" applyNumberFormat="1">
      <alignment vertical="center" wrapText="1"/>
    </xf>
    <xf numFmtId="0" fontId="50" fillId="0" borderId="0" xfId="0" applyFont="1" applyNumberFormat="1">
      <alignment horizontal="center" vertical="center" wrapText="1"/>
    </xf>
    <xf numFmtId="0" fontId="51" fillId="0" borderId="0" xfId="0" applyFont="1" applyNumberFormat="1">
      <alignment vertical="center"/>
    </xf>
    <xf numFmtId="0" fontId="23" fillId="0" borderId="0" xfId="0" applyFont="1" applyNumberFormat="1">
      <alignment vertical="center"/>
    </xf>
    <xf numFmtId="0" fontId="27" fillId="0" borderId="27" xfId="0" applyFont="1" applyBorder="1" applyNumberFormat="1">
      <alignment horizontal="left" vertical="center" wrapText="1" indent="1"/>
    </xf>
    <xf numFmtId="0" fontId="27" fillId="0" borderId="32" xfId="0" applyFont="1" applyBorder="1" applyNumberFormat="1">
      <alignment horizontal="left" vertical="center" wrapText="1" indent="1"/>
    </xf>
    <xf numFmtId="0" fontId="27" fillId="0" borderId="33" xfId="0" applyFont="1" applyBorder="1" applyNumberFormat="1">
      <alignment horizontal="left" vertical="center" wrapText="1" indent="1"/>
    </xf>
    <xf numFmtId="0" fontId="27" fillId="0" borderId="34" xfId="0" applyFont="1" applyBorder="1" applyNumberFormat="1">
      <alignment horizontal="left" vertical="center" indent="1"/>
    </xf>
    <xf numFmtId="0" fontId="27" fillId="0" borderId="30" xfId="0" applyFont="1" applyBorder="1" applyNumberFormat="1">
      <alignment horizontal="left" vertical="center" indent="1"/>
    </xf>
    <xf numFmtId="0" fontId="27" fillId="0" borderId="35" xfId="0" applyFont="1" applyBorder="1" applyNumberFormat="1">
      <alignment horizontal="left" vertical="center" indent="1"/>
    </xf>
    <xf numFmtId="0" fontId="52" fillId="0" borderId="0" xfId="0" applyFont="1" applyNumberFormat="1">
      <alignment vertical="center"/>
    </xf>
    <xf numFmtId="0" fontId="23" fillId="0" borderId="0" xfId="0" applyFont="1" applyNumberFormat="1">
      <alignment horizontal="left" vertical="center" wrapText="1" indent="2"/>
    </xf>
    <xf numFmtId="0" fontId="27" fillId="42" borderId="0" xfId="0" applyFont="1" applyFill="1" applyNumberFormat="1">
      <alignment horizontal="center" vertical="center" wrapText="1"/>
    </xf>
    <xf numFmtId="0" fontId="53" fillId="0" borderId="33" xfId="0" applyFont="1" applyBorder="1" applyNumberFormat="1">
      <alignment horizontal="center" vertical="center" wrapText="1"/>
    </xf>
    <xf numFmtId="0" fontId="53" fillId="0" borderId="26" xfId="0" applyFont="1" applyBorder="1" applyNumberFormat="1">
      <alignment horizontal="center" vertical="center" wrapText="1"/>
    </xf>
    <xf numFmtId="0" fontId="53" fillId="0" borderId="23" xfId="0" applyFont="1" applyBorder="1" applyNumberFormat="1">
      <alignment horizontal="center" vertical="center" wrapText="1"/>
    </xf>
    <xf numFmtId="0" fontId="27" fillId="0" borderId="36" xfId="0" applyFont="1" applyBorder="1" applyNumberFormat="1">
      <alignment horizontal="center" vertical="center" wrapText="1"/>
    </xf>
    <xf numFmtId="0" fontId="27" fillId="0" borderId="37" xfId="0" applyFont="1" applyBorder="1" applyNumberFormat="1">
      <alignment horizontal="center" vertical="center" wrapText="1"/>
    </xf>
    <xf numFmtId="0" fontId="37" fillId="0" borderId="28" xfId="0" applyFont="1" applyBorder="1" applyNumberFormat="1">
      <alignment vertical="center"/>
    </xf>
    <xf numFmtId="0" fontId="27" fillId="41" borderId="21" xfId="0" applyFont="1" applyFill="1" applyBorder="1" applyNumberFormat="1">
      <alignment horizontal="center" vertical="center" wrapText="1"/>
    </xf>
    <xf numFmtId="0" fontId="23" fillId="41" borderId="20" xfId="0" applyFont="1" applyFill="1" applyBorder="1" applyNumberFormat="1">
      <alignment vertical="center"/>
    </xf>
    <xf numFmtId="0" fontId="27" fillId="40" borderId="32" xfId="0" applyFont="1" applyFill="1" applyBorder="1" applyNumberFormat="1">
      <alignment horizontal="left" vertical="center" wrapText="1" indent="2"/>
    </xf>
    <xf numFmtId="0" fontId="27" fillId="0" borderId="41" xfId="0" applyFont="1" applyBorder="1" applyNumberFormat="1">
      <alignment horizontal="center" vertical="center" wrapText="1"/>
    </xf>
    <xf numFmtId="0" fontId="27" fillId="40" borderId="32" xfId="0" applyFont="1" applyFill="1" applyBorder="1" applyNumberFormat="1">
      <alignment horizontal="left" vertical="center" wrapText="1" indent="1"/>
    </xf>
    <xf numFmtId="0" fontId="27" fillId="0" borderId="0" xfId="0" applyFont="1" applyNumberFormat="1">
      <alignment vertical="center"/>
    </xf>
    <xf numFmtId="0" fontId="37" fillId="0" borderId="0" xfId="0" applyFont="1" applyNumberFormat="1">
      <alignment vertical="center"/>
    </xf>
    <xf numFmtId="0" fontId="47" fillId="0" borderId="23" xfId="0" applyFont="1" applyBorder="1" applyNumberFormat="1">
      <alignment horizontal="center" vertical="center" wrapText="1"/>
    </xf>
    <xf numFmtId="0" fontId="27" fillId="40" borderId="42" xfId="0" applyFont="1" applyFill="1" applyBorder="1" applyNumberFormat="1">
      <alignment horizontal="left" vertical="center" wrapText="1" indent="2"/>
    </xf>
    <xf numFmtId="0" fontId="27" fillId="40" borderId="30" xfId="0" applyFont="1" applyFill="1" applyBorder="1" applyNumberFormat="1">
      <alignment horizontal="left" vertical="center" wrapText="1" indent="1"/>
    </xf>
    <xf numFmtId="0" fontId="27" fillId="40" borderId="30" xfId="0" applyFont="1" applyFill="1" applyBorder="1" applyNumberFormat="1">
      <alignment horizontal="left" vertical="center" wrapText="1" indent="2"/>
    </xf>
    <xf numFmtId="0" fontId="53" fillId="42" borderId="0" xfId="0" applyFont="1" applyFill="1" applyNumberFormat="1">
      <alignment vertical="top"/>
    </xf>
    <xf numFmtId="0" fontId="27" fillId="0" borderId="27" xfId="0" applyFont="1" applyBorder="1" applyNumberFormat="1">
      <alignment horizontal="left" vertical="top" wrapText="1" indent="1"/>
    </xf>
    <xf numFmtId="0" fontId="27" fillId="0" borderId="32" xfId="0" applyFont="1" applyBorder="1" applyNumberFormat="1">
      <alignment horizontal="left" vertical="top" wrapText="1" indent="1"/>
    </xf>
    <xf numFmtId="0" fontId="27" fillId="0" borderId="33" xfId="0" applyFont="1" applyBorder="1" applyNumberFormat="1">
      <alignment horizontal="left" vertical="top" wrapText="1" indent="1"/>
    </xf>
    <xf numFmtId="0" fontId="27" fillId="0" borderId="45" xfId="0" applyFont="1" applyBorder="1" applyNumberFormat="1">
      <alignment horizontal="left" vertical="center" indent="1"/>
    </xf>
    <xf numFmtId="0" fontId="55" fillId="0" borderId="29" xfId="0" applyFont="1" applyBorder="1" applyNumberFormat="1">
      <alignment horizontal="left" vertical="center" wrapText="1" indent="1"/>
    </xf>
    <xf numFmtId="0" fontId="55" fillId="0" borderId="42" xfId="0" applyFont="1" applyBorder="1" applyNumberFormat="1">
      <alignment horizontal="left" vertical="center" wrapText="1" indent="1"/>
    </xf>
    <xf numFmtId="0" fontId="55" fillId="0" borderId="28" xfId="0" applyFont="1" applyBorder="1" applyNumberFormat="1">
      <alignment horizontal="left" vertical="center" wrapText="1" indent="1"/>
    </xf>
    <xf numFmtId="0" fontId="56" fillId="0" borderId="0" xfId="0" applyFont="1" applyNumberFormat="1">
      <alignment vertical="center"/>
    </xf>
    <xf numFmtId="0" fontId="23" fillId="0" borderId="23" xfId="0" applyFont="1" applyBorder="1" applyNumberFormat="1">
      <alignment horizontal="center" vertical="center" wrapText="1"/>
    </xf>
    <xf numFmtId="0" fontId="44" fillId="0" borderId="23" xfId="0" applyFont="1" applyBorder="1" applyNumberFormat="1">
      <alignment horizontal="center" vertical="center"/>
    </xf>
    <xf numFmtId="0" fontId="23" fillId="0" borderId="23" xfId="0" applyFont="1" applyBorder="1" applyNumberFormat="1">
      <alignment horizontal="center" vertical="center"/>
    </xf>
    <xf numFmtId="0" fontId="23" fillId="0" borderId="23" xfId="0" applyFont="1" applyBorder="1" applyNumberFormat="1">
      <alignment horizontal="center" vertical="top"/>
    </xf>
    <xf numFmtId="0" fontId="27" fillId="0" borderId="23" xfId="0" applyFont="1" applyBorder="1" applyNumberFormat="1">
      <alignment horizontal="left" vertical="top" wrapText="1"/>
    </xf>
    <xf numFmtId="0" fontId="27" fillId="40" borderId="32" xfId="0" applyFont="1" applyFill="1" applyBorder="1" applyNumberFormat="1">
      <alignment horizontal="center" vertical="top" wrapText="1"/>
    </xf>
    <xf numFmtId="0" fontId="23" fillId="0" borderId="33" xfId="0" applyFont="1" applyBorder="1" applyNumberFormat="1">
      <alignment horizontal="center" vertical="center"/>
    </xf>
    <xf numFmtId="0" fontId="23" fillId="0" borderId="26" xfId="0" applyFont="1" applyBorder="1" applyNumberFormat="1">
      <alignment horizontal="center" vertical="center"/>
    </xf>
    <xf numFmtId="0" fontId="23" fillId="0" borderId="26" xfId="0" applyFont="1" applyBorder="1" applyNumberFormat="1">
      <alignment horizontal="left" vertical="center" wrapText="1"/>
    </xf>
    <xf numFmtId="0" fontId="27" fillId="0" borderId="0" xfId="0" applyFont="1" applyNumberFormat="1">
      <alignment horizontal="left" vertical="center" indent="1"/>
    </xf>
    <xf numFmtId="0" fontId="27" fillId="40" borderId="42" xfId="0" applyFont="1" applyFill="1" applyBorder="1" applyNumberFormat="1">
      <alignment horizontal="center" vertical="top" wrapText="1"/>
    </xf>
    <xf numFmtId="0" fontId="23" fillId="0" borderId="28" xfId="0" applyFont="1" applyBorder="1" applyNumberFormat="1">
      <alignment horizontal="center" vertical="center"/>
    </xf>
    <xf numFmtId="0" fontId="48" fillId="0" borderId="29" xfId="0" applyFont="1" applyBorder="1" applyNumberFormat="1">
      <alignment horizontal="left" vertical="center"/>
    </xf>
    <xf numFmtId="0" fontId="27" fillId="40" borderId="30" xfId="0" applyFont="1" applyFill="1" applyBorder="1" applyNumberFormat="1">
      <alignment horizontal="center" vertical="top" wrapText="1"/>
    </xf>
    <xf numFmtId="0" fontId="48" fillId="0" borderId="35" xfId="0" applyFont="1" applyBorder="1" applyNumberFormat="1">
      <alignment horizontal="left" vertical="center"/>
    </xf>
    <xf numFmtId="0" fontId="48" fillId="0" borderId="45" xfId="0" applyFont="1" applyBorder="1" applyNumberFormat="1">
      <alignment horizontal="left" vertical="center"/>
    </xf>
    <xf numFmtId="0" fontId="23" fillId="0" borderId="45" xfId="0" applyFont="1" applyBorder="1" applyNumberFormat="1">
      <alignment vertical="center"/>
    </xf>
    <xf numFmtId="0" fontId="48" fillId="0" borderId="34" xfId="0" applyFont="1" applyBorder="1" applyNumberFormat="1">
      <alignment horizontal="left" vertical="center"/>
    </xf>
    <xf numFmtId="0" fontId="27" fillId="38" borderId="23" xfId="0" applyFont="1" applyFill="1" applyBorder="1" applyNumberFormat="1">
      <alignment horizontal="left" vertical="top" wrapText="1"/>
      <protection locked="0"/>
    </xf>
    <xf numFmtId="0" fontId="23" fillId="38" borderId="23" xfId="0" applyFont="1" applyFill="1" applyBorder="1" applyNumberFormat="1">
      <alignment horizontal="left" vertical="top"/>
      <protection locked="0"/>
    </xf>
    <xf numFmtId="0" fontId="23" fillId="0" borderId="32" xfId="0" applyFont="1" applyBorder="1" applyNumberFormat="1">
      <alignment horizontal="center" vertical="top"/>
    </xf>
    <xf numFmtId="0" fontId="27" fillId="0" borderId="32" xfId="0" applyFont="1" applyBorder="1" applyNumberFormat="1">
      <alignment horizontal="left" vertical="top" wrapText="1"/>
    </xf>
    <xf numFmtId="0" fontId="23" fillId="0" borderId="42" xfId="0" applyFont="1" applyBorder="1" applyNumberFormat="1">
      <alignment horizontal="center" vertical="top"/>
    </xf>
    <xf numFmtId="0" fontId="27" fillId="0" borderId="42" xfId="0" applyFont="1" applyBorder="1" applyNumberFormat="1">
      <alignment horizontal="left" vertical="top" wrapText="1"/>
    </xf>
    <xf numFmtId="0" fontId="23" fillId="0" borderId="30" xfId="0" applyFont="1" applyBorder="1" applyNumberFormat="1">
      <alignment horizontal="center" vertical="top"/>
    </xf>
    <xf numFmtId="0" fontId="27" fillId="0" borderId="30" xfId="0" applyFont="1" applyBorder="1" applyNumberFormat="1">
      <alignment horizontal="left" vertical="top" wrapText="1"/>
    </xf>
    <xf numFmtId="0" fontId="23" fillId="0" borderId="0" xfId="0" applyFont="1" applyNumberFormat="1">
      <alignment horizontal="left" vertical="top" wrapText="1"/>
    </xf>
    <xf numFmtId="0" fontId="23" fillId="0" borderId="0" xfId="0" applyFont="1" applyNumberFormat="1" quotePrefix="1">
      <alignment horizontal="left" vertical="top" wrapText="1" indent="1"/>
    </xf>
    <xf numFmtId="0" fontId="27" fillId="0" borderId="26" xfId="0" applyFont="1" applyBorder="1" applyNumberFormat="1">
      <alignment horizontal="left" vertical="center" wrapText="1" indent="1"/>
    </xf>
    <xf numFmtId="0" fontId="27" fillId="0" borderId="45" xfId="0" applyFont="1" applyBorder="1" applyNumberFormat="1">
      <alignment horizontal="left" vertical="center" wrapText="1" indent="1"/>
    </xf>
    <xf numFmtId="0" fontId="27" fillId="0" borderId="33" xfId="0" applyFont="1" applyBorder="1" applyNumberFormat="1">
      <alignment horizontal="center" vertical="center" wrapText="1"/>
    </xf>
    <xf numFmtId="0" fontId="27" fillId="0" borderId="27" xfId="0" applyFont="1" applyBorder="1" applyNumberFormat="1">
      <alignment horizontal="center" vertical="center" wrapText="1"/>
    </xf>
    <xf numFmtId="0" fontId="27" fillId="0" borderId="42" xfId="0" applyFont="1" applyBorder="1" applyNumberFormat="1">
      <alignment horizontal="center" vertical="center" wrapText="1"/>
    </xf>
    <xf numFmtId="0" fontId="27" fillId="0" borderId="32" xfId="0" applyFont="1" applyBorder="1" applyNumberFormat="1">
      <alignment horizontal="center" vertical="center" wrapText="1"/>
    </xf>
    <xf numFmtId="0" fontId="27" fillId="0" borderId="28" xfId="0" applyFont="1" applyBorder="1" applyNumberFormat="1">
      <alignment horizontal="center" vertical="center" wrapText="1"/>
    </xf>
    <xf numFmtId="0" fontId="27" fillId="0" borderId="29" xfId="0" applyFont="1" applyBorder="1" applyNumberFormat="1">
      <alignment horizontal="center" vertical="center" wrapText="1"/>
    </xf>
    <xf numFmtId="0" fontId="27" fillId="0" borderId="35" xfId="0" applyFont="1" applyBorder="1" applyNumberFormat="1">
      <alignment horizontal="center" vertical="center" wrapText="1"/>
    </xf>
    <xf numFmtId="0" fontId="27" fillId="0" borderId="34" xfId="0" applyFont="1" applyBorder="1" applyNumberFormat="1">
      <alignment horizontal="center" vertical="center" wrapText="1"/>
    </xf>
    <xf numFmtId="0" fontId="27" fillId="0" borderId="23" xfId="0" applyFont="1" applyBorder="1" applyNumberFormat="1">
      <alignment horizontal="left" vertical="center" wrapText="1"/>
    </xf>
    <xf numFmtId="0" fontId="27" fillId="0" borderId="26" xfId="0" applyFont="1" applyBorder="1" applyNumberFormat="1">
      <alignment horizontal="center" vertical="center"/>
    </xf>
    <xf numFmtId="0" fontId="27" fillId="0" borderId="26" xfId="0" applyFont="1" applyBorder="1" applyNumberFormat="1">
      <alignment horizontal="left" vertical="center" wrapText="1"/>
    </xf>
    <xf numFmtId="0" fontId="48" fillId="0" borderId="28" xfId="0" applyFont="1" applyBorder="1" applyNumberFormat="1">
      <alignment horizontal="left" vertical="center"/>
    </xf>
    <xf numFmtId="0" fontId="27" fillId="0" borderId="32" xfId="0" applyFont="1" applyBorder="1" applyNumberFormat="1">
      <alignment horizontal="left" vertical="center" wrapText="1"/>
    </xf>
    <xf numFmtId="0" fontId="27" fillId="0" borderId="33" xfId="0" applyFont="1" applyBorder="1" applyNumberFormat="1">
      <alignment horizontal="left" vertical="center" wrapText="1"/>
    </xf>
    <xf numFmtId="0" fontId="27" fillId="0" borderId="21" xfId="0" applyFont="1" applyBorder="1" applyNumberFormat="1">
      <alignment horizontal="left" vertical="center" wrapText="1"/>
    </xf>
    <xf numFmtId="0" fontId="27" fillId="39" borderId="0" xfId="0" applyFont="1" applyFill="1" applyNumberFormat="1"/>
    <xf numFmtId="0" fontId="23" fillId="39" borderId="0" xfId="0" applyFont="1" applyFill="1" applyNumberFormat="1"/>
    <xf numFmtId="0" fontId="44" fillId="39" borderId="0" xfId="0" applyFont="1" applyFill="1" applyNumberFormat="1"/>
    <xf numFmtId="0" fontId="40" fillId="39" borderId="0" xfId="0" applyFont="1" applyFill="1" applyNumberFormat="1">
      <alignment horizontal="center"/>
    </xf>
    <xf numFmtId="0" fontId="40" fillId="39" borderId="0" xfId="0" applyFont="1" applyFill="1" applyNumberFormat="1"/>
    <xf numFmtId="0" fontId="57" fillId="39" borderId="0" xfId="0" applyFont="1" applyFill="1" applyNumberFormat="1">
      <alignment horizontal="right" vertical="center"/>
    </xf>
    <xf numFmtId="0" fontId="44" fillId="39" borderId="0" xfId="0" applyFont="1" applyFill="1" applyNumberFormat="1">
      <alignment vertical="center" wrapText="1"/>
    </xf>
    <xf numFmtId="0" fontId="35" fillId="39" borderId="0" xfId="0" applyFont="1" applyFill="1" applyNumberFormat="1">
      <alignment horizontal="left" vertical="center" wrapText="1"/>
    </xf>
    <xf numFmtId="0" fontId="23" fillId="39" borderId="23" xfId="0" applyFont="1" applyFill="1" applyBorder="1" applyNumberFormat="1">
      <alignment horizontal="center" vertical="center" wrapText="1"/>
    </xf>
    <xf numFmtId="0" fontId="27" fillId="39" borderId="23" xfId="0" applyFont="1" applyFill="1" applyBorder="1" applyNumberFormat="1">
      <alignment horizontal="center" vertical="center" wrapText="1"/>
    </xf>
    <xf numFmtId="0" fontId="47" fillId="39" borderId="0" xfId="0" applyFont="1" applyFill="1" applyNumberFormat="1">
      <alignment horizontal="center" vertical="center"/>
    </xf>
    <xf numFmtId="0" fontId="44" fillId="0" borderId="23" xfId="0" applyFont="1" applyBorder="1" applyNumberFormat="1">
      <alignment vertical="center" wrapText="1"/>
    </xf>
    <xf numFmtId="0" fontId="44" fillId="0" borderId="23" xfId="0" applyFont="1" applyBorder="1" applyNumberFormat="1">
      <alignment horizontal="left" vertical="center" wrapText="1"/>
    </xf>
    <xf numFmtId="0" fontId="58" fillId="39" borderId="0" xfId="0" applyFont="1" applyFill="1" applyNumberFormat="1"/>
    <xf numFmtId="0" fontId="23" fillId="39" borderId="23" xfId="0" applyFont="1" applyFill="1" applyBorder="1" applyNumberFormat="1">
      <alignment vertical="center" wrapText="1"/>
    </xf>
    <xf numFmtId="0" fontId="27" fillId="39" borderId="23" xfId="0" applyFont="1" applyFill="1" applyBorder="1" applyNumberFormat="1">
      <alignment vertical="center" wrapText="1"/>
    </xf>
    <xf numFmtId="0" fontId="23" fillId="39" borderId="23" xfId="0" applyFont="1" applyFill="1" applyBorder="1" applyNumberFormat="1">
      <alignment horizontal="left" vertical="center" wrapText="1" indent="1"/>
    </xf>
    <xf numFmtId="0" fontId="44" fillId="0" borderId="23" xfId="0" applyFont="1" applyBorder="1" applyNumberFormat="1">
      <alignment horizontal="left" vertical="center" wrapText="1" indent="1"/>
    </xf>
    <xf numFmtId="0" fontId="27" fillId="39" borderId="29" xfId="0" applyFont="1" applyFill="1" applyBorder="1" applyNumberFormat="1">
      <alignment horizontal="center" vertical="center" wrapText="1"/>
    </xf>
    <xf numFmtId="0" fontId="23" fillId="39" borderId="23" xfId="0" applyFont="1" applyFill="1" applyBorder="1" applyNumberFormat="1">
      <alignment horizontal="center" vertical="center"/>
    </xf>
    <xf numFmtId="0" fontId="23" fillId="39" borderId="23" xfId="0" applyFont="1" applyFill="1" applyBorder="1" applyNumberFormat="1">
      <alignment horizontal="left" vertical="center" wrapText="1" indent="2"/>
    </xf>
    <xf numFmtId="0" fontId="27" fillId="39" borderId="29" xfId="0" applyFont="1" applyFill="1" applyBorder="1" applyNumberFormat="1">
      <alignment vertical="center" wrapText="1"/>
    </xf>
    <xf numFmtId="0" fontId="27" fillId="41" borderId="21" xfId="0" applyFont="1" applyFill="1" applyBorder="1" applyNumberFormat="1">
      <alignment horizontal="center"/>
    </xf>
    <xf numFmtId="0" fontId="57" fillId="41" borderId="25" xfId="0" applyFont="1" applyFill="1" applyBorder="1" applyNumberFormat="1">
      <alignment horizontal="left" vertical="center"/>
    </xf>
    <xf numFmtId="0" fontId="57" fillId="41" borderId="20" xfId="0" applyFont="1" applyFill="1" applyBorder="1" applyNumberFormat="1">
      <alignment horizontal="left" vertical="center"/>
    </xf>
    <xf numFmtId="0" fontId="44" fillId="39" borderId="23" xfId="0" applyFont="1" applyFill="1" applyBorder="1" applyNumberFormat="1">
      <alignment vertical="center" wrapText="1"/>
    </xf>
    <xf numFmtId="0" fontId="44" fillId="39" borderId="23" xfId="0" applyFont="1" applyFill="1" applyBorder="1" applyNumberFormat="1">
      <alignment horizontal="left" vertical="center" wrapText="1" indent="1"/>
    </xf>
    <xf numFmtId="0" fontId="44" fillId="39" borderId="23" xfId="0" applyFont="1" applyFill="1" applyBorder="1" applyNumberFormat="1">
      <alignment horizontal="left" vertical="center" wrapText="1" indent="2"/>
    </xf>
    <xf numFmtId="0" fontId="23" fillId="39" borderId="23" xfId="0" applyFont="1" applyFill="1" applyBorder="1" applyNumberFormat="1">
      <alignment horizontal="left" vertical="center" wrapText="1"/>
    </xf>
    <xf numFmtId="0" fontId="23" fillId="39" borderId="32" xfId="0" applyFont="1" applyFill="1" applyBorder="1" applyNumberFormat="1">
      <alignment horizontal="left" vertical="center" wrapText="1"/>
    </xf>
    <xf numFmtId="0" fontId="27" fillId="39" borderId="32" xfId="0" applyFont="1" applyFill="1" applyBorder="1" applyNumberFormat="1">
      <alignment horizontal="left" vertical="top" wrapText="1"/>
    </xf>
    <xf numFmtId="0" fontId="27" fillId="39" borderId="42" xfId="0" applyFont="1" applyFill="1" applyBorder="1" applyNumberFormat="1">
      <alignment horizontal="left" vertical="top" wrapText="1"/>
    </xf>
    <xf numFmtId="0" fontId="50" fillId="39" borderId="0" xfId="0" applyFont="1" applyFill="1" applyNumberFormat="1">
      <alignment horizontal="center" vertical="center" wrapText="1"/>
    </xf>
    <xf numFmtId="0" fontId="27" fillId="39" borderId="30" xfId="0" applyFont="1" applyFill="1" applyBorder="1" applyNumberFormat="1">
      <alignment horizontal="left" vertical="top" wrapText="1"/>
    </xf>
    <xf numFmtId="0" fontId="59" fillId="39" borderId="0" xfId="0" applyFont="1" applyFill="1" applyNumberFormat="1"/>
    <xf numFmtId="0" fontId="23" fillId="39" borderId="21" xfId="0" applyFont="1" applyFill="1" applyBorder="1" applyNumberFormat="1">
      <alignment horizontal="left" vertical="center" wrapText="1" indent="1"/>
    </xf>
    <xf numFmtId="0" fontId="23" fillId="39" borderId="23" xfId="0" applyFont="1" applyFill="1" applyBorder="1" applyNumberFormat="1">
      <alignment vertical="top" wrapText="1"/>
    </xf>
    <xf numFmtId="0" fontId="23" fillId="39" borderId="21" xfId="0" applyFont="1" applyFill="1" applyBorder="1" applyNumberFormat="1">
      <alignment horizontal="left" vertical="center" wrapText="1"/>
    </xf>
    <xf numFmtId="0" fontId="23" fillId="39" borderId="30" xfId="0" applyFont="1" applyFill="1" applyBorder="1" applyNumberFormat="1">
      <alignment vertical="center" wrapText="1"/>
    </xf>
    <xf numFmtId="0" fontId="49" fillId="0" borderId="0" xfId="0" applyFont="1" applyNumberFormat="1">
      <alignment horizontal="left" vertical="top" wrapText="1" indent="1"/>
    </xf>
    <xf numFmtId="0" fontId="60" fillId="39" borderId="0" xfId="0" applyFont="1" applyFill="1" applyNumberFormat="1"/>
    <xf numFmtId="0" fontId="53" fillId="39" borderId="0" xfId="0" applyFont="1" applyFill="1" applyNumberFormat="1">
      <alignment horizontal="center"/>
    </xf>
    <xf numFmtId="0" fontId="53" fillId="39" borderId="0" xfId="0" applyFont="1" applyFill="1" applyNumberFormat="1"/>
    <xf numFmtId="0" fontId="61" fillId="39" borderId="0" xfId="0" applyFont="1" applyFill="1" applyNumberFormat="1">
      <alignment horizontal="right" vertical="center"/>
    </xf>
    <xf numFmtId="0" fontId="62" fillId="39" borderId="0" xfId="0" applyFont="1" applyFill="1" applyNumberFormat="1">
      <alignment vertical="center"/>
    </xf>
    <xf numFmtId="0" fontId="61" fillId="39" borderId="0" xfId="0" applyFont="1" applyFill="1" applyNumberFormat="1">
      <alignment horizontal="right" vertical="top"/>
    </xf>
    <xf numFmtId="0" fontId="62" fillId="39" borderId="0" xfId="0" applyFont="1" applyFill="1" applyNumberFormat="1">
      <alignment vertical="center" wrapText="1"/>
    </xf>
    <xf numFmtId="0" fontId="23" fillId="39" borderId="0" xfId="0" applyFont="1" applyFill="1" applyNumberFormat="1">
      <alignment horizontal="center"/>
    </xf>
    <xf numFmtId="0" fontId="37" fillId="0" borderId="0" xfId="0" applyFont="1" applyNumberFormat="1">
      <alignment horizontal="center" vertical="center" wrapText="1"/>
    </xf>
    <xf numFmtId="0" fontId="63" fillId="39" borderId="0" xfId="0" applyFont="1" applyFill="1" applyNumberFormat="1">
      <alignment horizontal="center" vertical="center" wrapText="1"/>
    </xf>
    <xf numFmtId="0" fontId="63" fillId="39" borderId="0" xfId="0" applyFont="1" applyFill="1" applyNumberFormat="1">
      <alignment horizontal="right" vertical="center" wrapText="1"/>
    </xf>
    <xf numFmtId="0" fontId="63" fillId="0" borderId="0" xfId="0" applyFont="1" applyNumberFormat="1">
      <alignment vertical="center" wrapText="1"/>
    </xf>
    <xf numFmtId="0" fontId="27" fillId="0" borderId="34" xfId="0" applyFont="1" applyBorder="1" applyNumberFormat="1">
      <alignment horizontal="left" vertical="center" wrapText="1" indent="1"/>
    </xf>
    <xf numFmtId="0" fontId="27" fillId="0" borderId="30" xfId="0" applyFont="1" applyBorder="1" applyNumberFormat="1">
      <alignment horizontal="left" vertical="center" wrapText="1" indent="1"/>
    </xf>
    <xf numFmtId="0" fontId="27" fillId="0" borderId="35" xfId="0" applyFont="1" applyBorder="1" applyNumberFormat="1">
      <alignment horizontal="left" vertical="center" wrapText="1" indent="1"/>
    </xf>
    <xf numFmtId="0" fontId="64" fillId="39" borderId="0" xfId="0" applyFont="1" applyFill="1" applyNumberFormat="1">
      <alignment horizontal="center" vertical="center" wrapText="1"/>
    </xf>
    <xf numFmtId="0" fontId="23" fillId="0" borderId="21"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3"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5" xfId="0" applyFont="1" applyBorder="1" applyNumberFormat="1">
      <alignment horizontal="center" vertical="center" wrapText="1"/>
    </xf>
    <xf numFmtId="0" fontId="23" fillId="0" borderId="34" xfId="0" applyFont="1" applyBorder="1" applyNumberFormat="1">
      <alignment horizontal="center" vertical="center" wrapText="1"/>
    </xf>
    <xf numFmtId="0" fontId="47" fillId="39" borderId="0" xfId="0" applyFont="1" applyFill="1" applyNumberFormat="1">
      <alignment horizontal="center" vertical="center" wrapText="1"/>
    </xf>
    <xf numFmtId="0" fontId="65" fillId="39" borderId="0" xfId="0" applyFont="1" applyFill="1" applyNumberFormat="1">
      <alignment horizontal="center" vertical="center" wrapText="1"/>
    </xf>
    <xf numFmtId="0" fontId="55" fillId="0" borderId="0" xfId="0" applyFont="1" applyNumberFormat="1">
      <alignment vertical="center" wrapText="1"/>
    </xf>
    <xf numFmtId="0" fontId="27" fillId="40" borderId="21" xfId="0" applyFont="1" applyFill="1" applyBorder="1" applyNumberFormat="1">
      <alignment horizontal="left" vertical="center" wrapText="1"/>
    </xf>
    <xf numFmtId="0" fontId="23" fillId="35" borderId="23" xfId="0" applyFont="1" applyFill="1" applyBorder="1" applyNumberFormat="1">
      <alignment horizontal="right" vertical="center" wrapText="1"/>
      <protection locked="0"/>
    </xf>
    <xf numFmtId="0" fontId="23" fillId="0" borderId="32" xfId="0" applyFont="1" applyBorder="1" applyNumberFormat="1">
      <alignment horizontal="left" vertical="top" wrapText="1"/>
    </xf>
    <xf numFmtId="0" fontId="48" fillId="41" borderId="25" xfId="0" applyFont="1" applyFill="1" applyBorder="1" applyNumberFormat="1">
      <alignment vertical="center"/>
    </xf>
    <xf numFmtId="0" fontId="23" fillId="0" borderId="30" xfId="0" applyFont="1" applyBorder="1" applyNumberFormat="1">
      <alignment horizontal="left" vertical="top" wrapText="1"/>
    </xf>
    <xf numFmtId="0" fontId="27" fillId="40" borderId="26" xfId="0" applyFont="1" applyFill="1" applyBorder="1" applyNumberFormat="1">
      <alignment horizontal="left" vertical="center" wrapText="1"/>
    </xf>
    <xf numFmtId="0" fontId="50" fillId="39" borderId="23" xfId="0" applyFont="1" applyFill="1" applyBorder="1" applyNumberFormat="1">
      <alignment horizontal="center" vertical="center" wrapText="1"/>
    </xf>
    <xf numFmtId="0" fontId="27" fillId="40" borderId="45" xfId="0" applyFont="1" applyFill="1" applyBorder="1" applyNumberFormat="1">
      <alignment horizontal="left" vertical="center" wrapText="1"/>
    </xf>
    <xf numFmtId="0" fontId="27" fillId="0" borderId="26" xfId="0" applyFont="1" applyBorder="1" applyNumberFormat="1">
      <alignment horizontal="left" vertical="top" wrapText="1" indent="1"/>
    </xf>
    <xf numFmtId="0" fontId="29" fillId="39" borderId="0" xfId="0" applyFont="1" applyFill="1" applyNumberFormat="1">
      <alignment horizontal="right" vertical="center"/>
    </xf>
    <xf numFmtId="0" fontId="29" fillId="39" borderId="0" xfId="0" applyFont="1" applyFill="1" applyNumberFormat="1">
      <alignment horizontal="right" vertical="center" wrapText="1"/>
    </xf>
    <xf numFmtId="0" fontId="50" fillId="39" borderId="29" xfId="0" applyFont="1" applyFill="1" applyBorder="1" applyNumberFormat="1">
      <alignment vertical="top" wrapText="1"/>
    </xf>
    <xf numFmtId="0" fontId="23" fillId="0" borderId="42" xfId="0" applyFont="1" applyBorder="1" applyNumberFormat="1">
      <alignment horizontal="left" vertical="top" wrapText="1"/>
    </xf>
    <xf numFmtId="0" fontId="50" fillId="39" borderId="0" xfId="0" applyFont="1" applyFill="1" applyNumberFormat="1">
      <alignment vertical="top" wrapText="1"/>
    </xf>
    <xf numFmtId="0" fontId="44" fillId="39" borderId="30" xfId="0" applyFont="1" applyFill="1" applyBorder="1" applyNumberFormat="1">
      <alignment horizontal="center" vertical="center" wrapText="1"/>
    </xf>
    <xf numFmtId="0" fontId="44" fillId="0" borderId="0" xfId="0" applyFont="1" applyNumberFormat="1">
      <alignment horizontal="left" vertical="center" wrapText="1"/>
    </xf>
    <xf numFmtId="0" fontId="49" fillId="0" borderId="0" xfId="0" applyFont="1" applyNumberFormat="1">
      <alignment vertical="top"/>
    </xf>
    <xf numFmtId="0" fontId="37" fillId="0" borderId="23" xfId="0" applyFont="1" applyBorder="1" applyNumberFormat="1">
      <alignment horizontal="center" vertical="center"/>
    </xf>
    <xf numFmtId="0" fontId="27" fillId="39" borderId="23" xfId="0" applyFont="1" applyFill="1" applyBorder="1" applyNumberFormat="1">
      <alignment horizontal="left" vertical="center" wrapText="1"/>
    </xf>
    <xf numFmtId="0" fontId="27" fillId="0" borderId="23" xfId="0" applyFont="1" applyBorder="1" applyNumberFormat="1">
      <alignment vertical="center" wrapText="1"/>
    </xf>
    <xf numFmtId="0" fontId="27" fillId="0" borderId="23" xfId="0" applyFont="1" applyBorder="1" applyNumberFormat="1">
      <alignment horizontal="left" vertical="center" wrapText="1" indent="6"/>
    </xf>
    <xf numFmtId="0" fontId="27" fillId="37" borderId="21" xfId="0" applyFont="1" applyFill="1" applyBorder="1" applyNumberFormat="1">
      <alignment horizontal="left" vertical="center" wrapText="1"/>
    </xf>
    <xf numFmtId="0" fontId="27" fillId="37" borderId="25" xfId="0" applyFont="1" applyFill="1" applyBorder="1" applyNumberFormat="1">
      <alignment horizontal="left" vertical="center" wrapText="1"/>
    </xf>
    <xf numFmtId="0" fontId="27" fillId="37" borderId="20" xfId="0" applyFont="1" applyFill="1" applyBorder="1" applyNumberFormat="1">
      <alignment horizontal="left" vertical="center" wrapText="1"/>
    </xf>
    <xf numFmtId="0" fontId="49" fillId="0" borderId="23" xfId="0" applyFont="1" applyBorder="1" applyNumberFormat="1">
      <alignment vertical="top" wrapText="1"/>
    </xf>
    <xf numFmtId="0" fontId="37" fillId="0" borderId="21" xfId="0" applyFont="1" applyBorder="1" applyNumberFormat="1">
      <alignment horizontal="center" vertical="center"/>
    </xf>
    <xf numFmtId="0" fontId="46" fillId="39" borderId="0" xfId="0" applyFont="1" applyFill="1" applyNumberFormat="1">
      <alignment horizontal="center" vertical="center" wrapText="1"/>
    </xf>
    <xf numFmtId="0" fontId="27" fillId="0" borderId="29" xfId="0" applyFont="1" applyBorder="1" applyNumberFormat="1">
      <alignment vertical="center" wrapText="1"/>
    </xf>
    <xf numFmtId="0" fontId="27" fillId="39" borderId="23" xfId="0" applyFont="1" applyFill="1" applyBorder="1" applyNumberFormat="1">
      <alignment horizontal="left" vertical="center" wrapText="1" indent="1"/>
    </xf>
    <xf numFmtId="0" fontId="27" fillId="39" borderId="23" xfId="0" applyFont="1" applyFill="1" applyBorder="1" applyNumberFormat="1">
      <alignment horizontal="left" vertical="center" wrapText="1" indent="2"/>
    </xf>
    <xf numFmtId="0" fontId="27" fillId="39" borderId="23" xfId="0" applyFont="1" applyFill="1" applyBorder="1" applyNumberFormat="1">
      <alignment horizontal="left" vertical="center" wrapText="1" indent="3"/>
    </xf>
    <xf numFmtId="0" fontId="37" fillId="0" borderId="23" xfId="0" applyFont="1" applyBorder="1" applyNumberFormat="1">
      <alignment horizontal="center" vertical="center" wrapText="1"/>
    </xf>
    <xf numFmtId="0" fontId="37" fillId="0" borderId="0" xfId="0" applyFont="1" applyNumberFormat="1">
      <alignment horizontal="center" vertical="center"/>
    </xf>
    <xf numFmtId="0" fontId="44" fillId="0" borderId="29" xfId="0" applyFont="1" applyBorder="1" applyNumberFormat="1">
      <alignment horizontal="center" vertical="center" wrapText="1"/>
    </xf>
    <xf numFmtId="0" fontId="27" fillId="39" borderId="23" xfId="0" applyFont="1" applyFill="1" applyBorder="1" applyNumberFormat="1">
      <alignment horizontal="left" vertical="center" wrapText="1" indent="4"/>
    </xf>
    <xf numFmtId="0" fontId="27" fillId="40" borderId="25" xfId="0" applyFont="1" applyFill="1" applyBorder="1" applyNumberFormat="1">
      <alignment horizontal="left" vertical="center" wrapText="1"/>
    </xf>
    <xf numFmtId="0" fontId="27" fillId="40" borderId="20" xfId="0" applyFont="1" applyFill="1" applyBorder="1" applyNumberFormat="1">
      <alignment horizontal="left" vertical="center" wrapText="1"/>
    </xf>
    <xf numFmtId="0" fontId="37" fillId="0" borderId="21" xfId="0" applyFont="1" applyBorder="1" applyNumberFormat="1">
      <alignment horizontal="center" vertical="center" wrapText="1"/>
    </xf>
    <xf numFmtId="0" fontId="44" fillId="0" borderId="29" xfId="0" applyFont="1" applyBorder="1" applyNumberFormat="1">
      <alignment vertical="center" wrapText="1"/>
    </xf>
    <xf numFmtId="0" fontId="27" fillId="39" borderId="23" xfId="0" applyFont="1" applyFill="1" applyBorder="1" applyNumberFormat="1">
      <alignment horizontal="left" vertical="center" wrapText="1" indent="5"/>
    </xf>
    <xf numFmtId="0" fontId="27" fillId="40" borderId="23" xfId="0" applyFont="1" applyFill="1" applyBorder="1" applyNumberFormat="1">
      <alignment horizontal="left" vertical="center" wrapText="1" indent="6"/>
    </xf>
    <xf numFmtId="0" fontId="49" fillId="0" borderId="32" xfId="0" applyFont="1" applyBorder="1" applyNumberFormat="1">
      <alignment horizontal="left" vertical="top" wrapText="1"/>
    </xf>
    <xf numFmtId="0" fontId="49" fillId="0" borderId="42" xfId="0" applyFont="1" applyBorder="1" applyNumberFormat="1">
      <alignment horizontal="left" vertical="top" wrapText="1"/>
    </xf>
    <xf numFmtId="0" fontId="49" fillId="0" borderId="30" xfId="0" applyFont="1" applyBorder="1" applyNumberFormat="1">
      <alignment horizontal="left" vertical="top" wrapText="1"/>
    </xf>
    <xf numFmtId="0" fontId="70" fillId="39" borderId="0" xfId="0" applyFont="1" applyFill="1" applyNumberFormat="1">
      <alignment vertical="center" wrapText="1"/>
    </xf>
    <xf numFmtId="0" fontId="27" fillId="39" borderId="0" xfId="0" applyFont="1" applyFill="1" applyNumberFormat="1">
      <alignment horizontal="left" vertical="center" wrapText="1"/>
    </xf>
    <xf numFmtId="0" fontId="31" fillId="39" borderId="0" xfId="0" applyFont="1" applyFill="1" applyNumberFormat="1">
      <alignment horizontal="center" vertical="center" wrapText="1"/>
    </xf>
    <xf numFmtId="0" fontId="23" fillId="39" borderId="23" xfId="0" applyFont="1" applyFill="1" applyBorder="1" applyNumberFormat="1">
      <alignment horizontal="right" vertical="center" wrapText="1" indent="1"/>
    </xf>
    <xf numFmtId="0" fontId="23" fillId="0" borderId="25" xfId="0" applyFont="1" applyBorder="1" applyNumberFormat="1">
      <alignment vertical="center"/>
    </xf>
    <xf numFmtId="0" fontId="27" fillId="37" borderId="23" xfId="0" applyFont="1" applyFill="1" applyBorder="1" applyNumberFormat="1">
      <alignment horizontal="left" vertical="center" wrapText="1" indent="1"/>
    </xf>
    <xf numFmtId="0" fontId="27" fillId="39" borderId="45" xfId="0" applyFont="1" applyFill="1" applyBorder="1" applyNumberFormat="1">
      <alignment vertical="center" wrapText="1"/>
    </xf>
    <xf numFmtId="0" fontId="50" fillId="0" borderId="45" xfId="0" applyFont="1" applyBorder="1" applyNumberFormat="1">
      <alignment horizontal="center" vertical="center" wrapText="1"/>
    </xf>
    <xf numFmtId="0" fontId="27" fillId="0" borderId="32" xfId="0" applyFont="1" applyBorder="1" applyNumberFormat="1">
      <alignment vertical="center" wrapText="1"/>
    </xf>
    <xf numFmtId="0" fontId="23" fillId="39" borderId="21" xfId="0" applyFont="1" applyFill="1" applyBorder="1" applyNumberFormat="1">
      <alignment horizontal="center" vertical="center" wrapText="1"/>
    </xf>
    <xf numFmtId="0" fontId="23" fillId="39" borderId="25" xfId="0" applyFont="1" applyFill="1" applyBorder="1" applyNumberFormat="1">
      <alignment horizontal="center" vertical="center" wrapText="1"/>
    </xf>
    <xf numFmtId="0" fontId="23" fillId="39" borderId="20" xfId="0" applyFont="1" applyFill="1" applyBorder="1" applyNumberFormat="1">
      <alignment horizontal="center" vertical="center" wrapText="1"/>
    </xf>
    <xf numFmtId="0" fontId="27" fillId="39" borderId="32" xfId="0" applyFont="1" applyFill="1" applyBorder="1" applyNumberFormat="1">
      <alignment horizontal="center" vertical="center" wrapText="1"/>
    </xf>
    <xf numFmtId="0" fontId="27" fillId="0" borderId="42" xfId="0" applyFont="1" applyBorder="1" applyNumberFormat="1">
      <alignment vertical="center" wrapText="1"/>
    </xf>
    <xf numFmtId="0" fontId="37" fillId="0" borderId="32" xfId="0" applyFont="1" applyBorder="1" applyNumberFormat="1">
      <alignment horizontal="center" vertical="center" wrapText="1"/>
    </xf>
    <xf numFmtId="0" fontId="27" fillId="39" borderId="42" xfId="0" applyFont="1" applyFill="1" applyBorder="1" applyNumberFormat="1">
      <alignment horizontal="center" vertical="center" wrapText="1"/>
    </xf>
    <xf numFmtId="0" fontId="27" fillId="0" borderId="30" xfId="0" applyFont="1" applyBorder="1" applyNumberFormat="1">
      <alignment vertical="center" wrapText="1"/>
    </xf>
    <xf numFmtId="0" fontId="37" fillId="0" borderId="30" xfId="0" applyFont="1" applyBorder="1" applyNumberFormat="1">
      <alignment horizontal="center" vertical="center" wrapText="1"/>
    </xf>
    <xf numFmtId="0" fontId="27" fillId="39" borderId="30" xfId="0" applyFont="1" applyFill="1" applyBorder="1" applyNumberFormat="1">
      <alignment horizontal="center" vertical="center" wrapText="1"/>
    </xf>
    <xf numFmtId="0" fontId="81" fillId="39" borderId="0" xfId="0" applyFont="1" applyFill="1" applyNumberFormat="1">
      <alignment vertical="center" wrapText="1"/>
    </xf>
    <xf numFmtId="0" fontId="82" fillId="39" borderId="0" xfId="0" applyFont="1" applyFill="1" applyNumberFormat="1">
      <alignment vertical="center" wrapText="1"/>
    </xf>
    <xf numFmtId="0" fontId="44" fillId="39" borderId="26" xfId="0" applyFont="1" applyFill="1" applyBorder="1" applyNumberFormat="1">
      <alignment horizontal="center" vertical="center" wrapText="1"/>
    </xf>
    <xf numFmtId="0" fontId="65" fillId="39" borderId="26" xfId="0" applyFont="1" applyFill="1" applyBorder="1" applyNumberFormat="1">
      <alignment horizontal="center" vertical="center" wrapText="1"/>
    </xf>
    <xf numFmtId="0" fontId="37" fillId="0" borderId="0" xfId="0" applyFont="1" applyNumberFormat="1">
      <alignment horizontal="left" vertical="center" indent="1"/>
    </xf>
    <xf numFmtId="0" fontId="70" fillId="0" borderId="0" xfId="0" applyFont="1" applyNumberFormat="1">
      <alignment vertical="center" wrapText="1"/>
    </xf>
    <xf numFmtId="0" fontId="27" fillId="0" borderId="23" xfId="0" applyFont="1" applyBorder="1" applyNumberFormat="1">
      <alignment horizontal="center" vertical="center"/>
    </xf>
    <xf numFmtId="0" fontId="27" fillId="0" borderId="21" xfId="0" applyFont="1" applyBorder="1" applyNumberFormat="1">
      <alignment horizontal="center" vertical="center"/>
    </xf>
    <xf numFmtId="0" fontId="27" fillId="0" borderId="0" xfId="0" applyFont="1" applyNumberFormat="1">
      <alignment horizontal="center" vertical="center"/>
    </xf>
    <xf numFmtId="0" fontId="55" fillId="0" borderId="0" xfId="0" applyFont="1" applyNumberFormat="1">
      <alignment horizontal="left" vertical="center" indent="1"/>
    </xf>
    <xf numFmtId="0" fontId="23" fillId="39" borderId="26" xfId="0" applyFont="1" applyFill="1" applyBorder="1" applyNumberFormat="1">
      <alignment horizontal="center" vertical="center" wrapText="1"/>
    </xf>
    <xf numFmtId="0" fontId="44" fillId="0" borderId="32" xfId="0" applyFont="1" applyBorder="1" applyNumberFormat="1">
      <alignment horizontal="center" vertical="center" wrapText="1"/>
    </xf>
    <xf numFmtId="0" fontId="44" fillId="0" borderId="23" xfId="0" applyFont="1" applyBorder="1" applyNumberFormat="1">
      <alignment horizontal="left" vertical="center" wrapText="1" indent="4"/>
    </xf>
    <xf numFmtId="0" fontId="44" fillId="0" borderId="23" xfId="0" applyFont="1" applyBorder="1" applyNumberFormat="1">
      <alignment horizontal="left" vertical="center" wrapText="1" indent="6"/>
    </xf>
    <xf numFmtId="0" fontId="44" fillId="0" borderId="21" xfId="0" applyFont="1" applyBorder="1" applyNumberFormat="1">
      <alignment horizontal="left" vertical="center" wrapText="1"/>
    </xf>
    <xf numFmtId="0" fontId="44" fillId="0" borderId="25" xfId="0" applyFont="1" applyBorder="1" applyNumberFormat="1">
      <alignment horizontal="left" vertical="center" wrapText="1"/>
    </xf>
    <xf numFmtId="0" fontId="44" fillId="0" borderId="20" xfId="0" applyFont="1" applyBorder="1" applyNumberFormat="1">
      <alignment horizontal="left" vertical="center" wrapText="1"/>
    </xf>
    <xf numFmtId="0" fontId="44" fillId="0" borderId="23" xfId="0" applyFont="1" applyBorder="1" applyNumberFormat="1">
      <alignment vertical="top" wrapText="1"/>
    </xf>
    <xf numFmtId="0" fontId="44" fillId="0" borderId="0" xfId="0" applyFont="1" applyNumberFormat="1">
      <alignment horizontal="center" vertical="center"/>
    </xf>
    <xf numFmtId="0" fontId="27" fillId="39" borderId="32" xfId="0" applyFont="1" applyFill="1" applyBorder="1" applyNumberFormat="1">
      <alignment horizontal="left" vertical="center" wrapText="1"/>
    </xf>
    <xf numFmtId="0" fontId="27" fillId="39" borderId="32" xfId="0" applyFont="1" applyFill="1" applyBorder="1" applyNumberFormat="1">
      <alignment horizontal="left" vertical="center" wrapText="1" indent="2"/>
    </xf>
    <xf numFmtId="0" fontId="27" fillId="0" borderId="32" xfId="0" applyFont="1" applyBorder="1" applyNumberFormat="1">
      <alignment horizontal="left" vertical="center" wrapText="1" indent="6"/>
    </xf>
    <xf numFmtId="0" fontId="27" fillId="37" borderId="33" xfId="0" applyFont="1" applyFill="1" applyBorder="1" applyNumberFormat="1">
      <alignment horizontal="left" vertical="center" wrapText="1"/>
    </xf>
    <xf numFmtId="0" fontId="27" fillId="37" borderId="26" xfId="0" applyFont="1" applyFill="1" applyBorder="1" applyNumberFormat="1">
      <alignment horizontal="left" vertical="center" wrapText="1"/>
    </xf>
    <xf numFmtId="0" fontId="27" fillId="37" borderId="27" xfId="0" applyFont="1" applyFill="1" applyBorder="1" applyNumberFormat="1">
      <alignment horizontal="left" vertical="center" wrapText="1"/>
    </xf>
    <xf numFmtId="0" fontId="27" fillId="37" borderId="23" xfId="0" applyFont="1" applyFill="1" applyBorder="1" applyNumberFormat="1">
      <alignment horizontal="left" vertical="center" wrapText="1"/>
    </xf>
    <xf numFmtId="0" fontId="49" fillId="0" borderId="20" xfId="0" applyFont="1" applyBorder="1" applyNumberFormat="1">
      <alignment vertical="top" wrapText="1"/>
    </xf>
    <xf numFmtId="0" fontId="44" fillId="0" borderId="20" xfId="0" applyFont="1" applyBorder="1" applyNumberFormat="1">
      <alignment vertical="top" wrapText="1"/>
    </xf>
    <xf numFmtId="0" fontId="27" fillId="40" borderId="23" xfId="0" applyFont="1" applyFill="1" applyBorder="1" applyNumberFormat="1">
      <alignment horizontal="left" vertical="center" wrapText="1"/>
    </xf>
    <xf numFmtId="0" fontId="27" fillId="39" borderId="30" xfId="0" applyFont="1" applyFill="1" applyBorder="1" applyNumberFormat="1">
      <alignment horizontal="left" vertical="center" wrapText="1"/>
    </xf>
    <xf numFmtId="0" fontId="27" fillId="40" borderId="30" xfId="0" applyFont="1" applyFill="1" applyBorder="1" applyNumberFormat="1">
      <alignment horizontal="left" vertical="center" wrapText="1" indent="6"/>
    </xf>
    <xf numFmtId="0" fontId="27" fillId="0" borderId="30" xfId="0" applyFont="1" applyBorder="1" applyNumberFormat="1">
      <alignment horizontal="left" vertical="center" wrapText="1" indent="6"/>
    </xf>
    <xf numFmtId="0" fontId="27" fillId="40" borderId="27" xfId="0" applyFont="1" applyFill="1" applyBorder="1" applyNumberFormat="1">
      <alignment horizontal="left" vertical="center" wrapText="1"/>
    </xf>
    <xf numFmtId="0" fontId="49" fillId="0" borderId="32" xfId="0" applyFont="1" applyBorder="1" applyNumberFormat="1">
      <alignment vertical="top" wrapText="1"/>
    </xf>
    <xf numFmtId="0" fontId="27" fillId="35" borderId="23" xfId="0" applyFont="1" applyFill="1" applyBorder="1" applyNumberFormat="1">
      <alignment horizontal="left" vertical="center" wrapText="1" indent="7"/>
      <protection locked="0"/>
    </xf>
    <xf numFmtId="0" fontId="27" fillId="41" borderId="25" xfId="0" applyFont="1" applyFill="1" applyBorder="1" applyNumberFormat="1">
      <alignment horizontal="left" vertical="center" wrapText="1" indent="6"/>
    </xf>
    <xf numFmtId="0" fontId="27" fillId="0" borderId="26" xfId="0" applyFont="1" applyBorder="1" applyNumberFormat="1">
      <alignment horizontal="center" vertical="center" wrapText="1"/>
    </xf>
    <xf numFmtId="0" fontId="27" fillId="0" borderId="45" xfId="0" applyFont="1" applyBorder="1" applyNumberFormat="1">
      <alignment horizontal="center" vertical="center" wrapText="1"/>
    </xf>
    <xf numFmtId="0" fontId="23" fillId="0" borderId="42" xfId="0" applyFont="1" applyBorder="1" applyNumberFormat="1">
      <alignment horizontal="center" vertical="center" wrapText="1"/>
    </xf>
    <xf numFmtId="0" fontId="55" fillId="0" borderId="0" xfId="0" applyFont="1" applyNumberFormat="1">
      <alignment horizontal="center" vertical="center"/>
    </xf>
    <xf numFmtId="0" fontId="45" fillId="39" borderId="0" xfId="0" applyFont="1" applyFill="1" applyNumberFormat="1">
      <alignment horizontal="center" vertical="center" wrapText="1"/>
    </xf>
    <xf numFmtId="0" fontId="44" fillId="0" borderId="23" xfId="0" applyFont="1" applyBorder="1" applyNumberFormat="1">
      <alignment horizontal="left" vertical="center" wrapText="1" indent="5"/>
    </xf>
    <xf numFmtId="0" fontId="44" fillId="0" borderId="29" xfId="0" applyFont="1" applyBorder="1" applyNumberFormat="1">
      <alignment horizontal="center" vertical="top" wrapText="1"/>
    </xf>
    <xf numFmtId="0" fontId="50" fillId="0" borderId="23" xfId="0" applyFont="1" applyBorder="1" applyNumberFormat="1">
      <alignment horizontal="center" vertical="center" wrapText="1"/>
    </xf>
    <xf numFmtId="0" fontId="27" fillId="0" borderId="23" xfId="0" applyFont="1" applyBorder="1" applyNumberFormat="1">
      <alignment horizontal="left" vertical="center" wrapText="1" indent="4"/>
    </xf>
    <xf numFmtId="0" fontId="27" fillId="39" borderId="42" xfId="0" applyFont="1" applyFill="1" applyBorder="1" applyNumberFormat="1">
      <alignment horizontal="left" vertical="center" wrapText="1"/>
    </xf>
    <xf numFmtId="0" fontId="44" fillId="0" borderId="29" xfId="0" applyFont="1" applyBorder="1" applyNumberFormat="1">
      <alignment horizontal="left" vertical="center" wrapText="1" indent="1"/>
    </xf>
    <xf numFmtId="0" fontId="37" fillId="0" borderId="0" xfId="0" applyFont="1" applyNumberFormat="1">
      <alignment horizontal="left" vertical="center"/>
    </xf>
    <xf numFmtId="0" fontId="83" fillId="39" borderId="0" xfId="0" applyFont="1" applyFill="1" applyNumberFormat="1">
      <alignment vertical="center" wrapText="1"/>
    </xf>
    <xf numFmtId="0" fontId="27" fillId="39" borderId="33" xfId="0" applyFont="1" applyFill="1" applyBorder="1" applyNumberFormat="1">
      <alignment horizontal="center" vertical="center" wrapText="1"/>
    </xf>
    <xf numFmtId="0" fontId="23" fillId="39" borderId="33" xfId="0" applyFont="1" applyFill="1" applyBorder="1" applyNumberFormat="1">
      <alignment horizontal="center" vertical="center" wrapText="1"/>
    </xf>
    <xf numFmtId="0" fontId="23" fillId="39" borderId="27" xfId="0" applyFont="1" applyFill="1" applyBorder="1" applyNumberFormat="1">
      <alignment horizontal="center" vertical="center" wrapText="1"/>
    </xf>
    <xf numFmtId="0" fontId="27" fillId="39" borderId="28" xfId="0" applyFont="1" applyFill="1" applyBorder="1" applyNumberFormat="1">
      <alignment horizontal="center" vertical="center" wrapText="1"/>
    </xf>
    <xf numFmtId="0" fontId="23" fillId="39" borderId="28" xfId="0" applyFont="1" applyFill="1" applyBorder="1" applyNumberFormat="1">
      <alignment horizontal="center" vertical="center" wrapText="1"/>
    </xf>
    <xf numFmtId="0" fontId="23" fillId="39" borderId="0" xfId="0" applyFont="1" applyFill="1" applyNumberFormat="1">
      <alignment horizontal="center" vertical="center" wrapText="1"/>
    </xf>
    <xf numFmtId="0" fontId="23" fillId="39" borderId="29" xfId="0" applyFont="1" applyFill="1" applyBorder="1" applyNumberFormat="1">
      <alignment horizontal="center" vertical="center" wrapText="1"/>
    </xf>
    <xf numFmtId="0" fontId="27" fillId="37" borderId="23" xfId="0" applyFont="1" applyFill="1" applyBorder="1" applyNumberFormat="1">
      <alignment horizontal="center" vertical="center" wrapText="1"/>
    </xf>
    <xf numFmtId="0" fontId="27" fillId="38" borderId="23" xfId="0" applyFont="1" applyFill="1" applyBorder="1" applyNumberFormat="1">
      <alignment horizontal="center" vertical="center" wrapText="1"/>
      <protection locked="0"/>
    </xf>
    <xf numFmtId="0" fontId="27" fillId="39" borderId="35" xfId="0" applyFont="1" applyFill="1" applyBorder="1" applyNumberFormat="1">
      <alignment horizontal="center" vertical="center" wrapText="1"/>
    </xf>
    <xf numFmtId="0" fontId="23" fillId="39" borderId="35" xfId="0" applyFont="1" applyFill="1" applyBorder="1" applyNumberFormat="1">
      <alignment horizontal="center" vertical="center" wrapText="1"/>
    </xf>
    <xf numFmtId="0" fontId="23" fillId="39" borderId="45" xfId="0" applyFont="1" applyFill="1" applyBorder="1" applyNumberFormat="1">
      <alignment horizontal="center" vertical="center" wrapText="1"/>
    </xf>
    <xf numFmtId="0" fontId="23" fillId="39" borderId="34" xfId="0" applyFont="1" applyFill="1" applyBorder="1" applyNumberFormat="1">
      <alignment horizontal="center" vertical="center" wrapText="1"/>
    </xf>
    <xf numFmtId="0" fontId="27" fillId="0" borderId="23" xfId="0" applyFont="1" applyBorder="1" applyNumberFormat="1">
      <alignment horizontal="left" vertical="center" wrapText="1" indent="1"/>
    </xf>
    <xf numFmtId="0" fontId="83" fillId="0" borderId="0" xfId="0" applyFont="1" applyNumberFormat="1">
      <alignment vertical="center" wrapText="1"/>
    </xf>
    <xf numFmtId="0" fontId="27" fillId="35" borderId="21" xfId="0" applyFont="1" applyFill="1" applyBorder="1" applyNumberFormat="1">
      <alignment horizontal="left" vertical="center" wrapText="1"/>
      <protection locked="0"/>
    </xf>
    <xf numFmtId="0" fontId="27" fillId="35" borderId="25" xfId="0" applyFont="1" applyFill="1" applyBorder="1" applyNumberFormat="1">
      <alignment horizontal="left" vertical="center" wrapText="1"/>
      <protection locked="0"/>
    </xf>
    <xf numFmtId="0" fontId="27" fillId="35" borderId="20" xfId="0" applyFont="1" applyFill="1" applyBorder="1" applyNumberFormat="1">
      <alignment horizontal="left" vertical="center" wrapText="1"/>
      <protection locked="0"/>
    </xf>
    <xf numFmtId="0" fontId="49" fillId="0" borderId="23" xfId="0" applyFont="1" applyBorder="1" applyNumberFormat="1">
      <alignment horizontal="left" vertical="top" wrapText="1"/>
    </xf>
    <xf numFmtId="0" fontId="27" fillId="0" borderId="0" xfId="0" applyFont="1" applyNumberFormat="1">
      <alignment horizontal="left" vertical="center"/>
    </xf>
    <xf numFmtId="0" fontId="27" fillId="38" borderId="20" xfId="0" applyFont="1" applyFill="1" applyBorder="1" applyNumberFormat="1">
      <alignment horizontal="center" vertical="center" wrapText="1"/>
      <protection locked="0"/>
    </xf>
    <xf numFmtId="0" fontId="27" fillId="39" borderId="34" xfId="0" applyFont="1" applyFill="1" applyBorder="1" applyNumberFormat="1">
      <alignment horizontal="center" vertical="center" wrapText="1"/>
    </xf>
    <xf numFmtId="0" fontId="88" fillId="39" borderId="0" xfId="0" applyFont="1" applyFill="1" applyNumberFormat="1">
      <alignment horizontal="center" vertical="center" wrapText="1"/>
    </xf>
    <xf numFmtId="0" fontId="44" fillId="39" borderId="23" xfId="0" applyFont="1" applyFill="1" applyBorder="1" applyNumberFormat="1">
      <alignment horizontal="left" vertical="center" wrapText="1" indent="3"/>
    </xf>
    <xf numFmtId="0" fontId="44" fillId="0" borderId="26" xfId="0" applyFont="1" applyBorder="1" applyNumberFormat="1">
      <alignment horizontal="left" vertical="center" wrapText="1"/>
    </xf>
    <xf numFmtId="0" fontId="27" fillId="0" borderId="66" xfId="0" applyFont="1" applyBorder="1" applyNumberFormat="1">
      <alignment horizontal="center" vertical="center" wrapText="1"/>
    </xf>
    <xf numFmtId="0" fontId="27" fillId="38" borderId="23" xfId="0" applyFont="1" applyFill="1" applyBorder="1" applyNumberFormat="1">
      <alignment horizontal="left" vertical="center" wrapText="1" indent="2"/>
      <protection locked="0"/>
    </xf>
    <xf numFmtId="0" fontId="44" fillId="0" borderId="66" xfId="0" applyFont="1" applyBorder="1" applyNumberFormat="1">
      <alignment horizontal="center" vertical="center" wrapText="1"/>
    </xf>
    <xf numFmtId="0" fontId="44" fillId="0" borderId="23" xfId="0" applyFont="1" applyBorder="1" applyNumberFormat="1">
      <alignment horizontal="left" vertical="center" wrapText="1" indent="2"/>
    </xf>
    <xf numFmtId="0" fontId="27" fillId="0" borderId="23" xfId="0" applyFont="1" applyBorder="1" applyNumberFormat="1">
      <alignment horizontal="left" vertical="center" wrapText="1" indent="3"/>
    </xf>
    <xf numFmtId="0" fontId="27" fillId="35" borderId="23" xfId="0" applyFont="1" applyFill="1" applyBorder="1" applyNumberFormat="1">
      <alignment horizontal="left" vertical="center" wrapText="1"/>
      <protection locked="0"/>
    </xf>
    <xf numFmtId="0" fontId="27" fillId="0" borderId="20" xfId="0" applyFont="1" applyBorder="1" applyNumberFormat="1">
      <alignment vertical="top" wrapText="1"/>
    </xf>
    <xf numFmtId="0" fontId="27" fillId="0" borderId="27" xfId="0" applyFont="1" applyBorder="1" applyNumberFormat="1">
      <alignment vertical="center" wrapText="1"/>
    </xf>
    <xf numFmtId="0" fontId="80" fillId="39" borderId="0" xfId="0" applyFont="1" applyFill="1" applyNumberFormat="1">
      <alignment horizontal="right" vertical="center"/>
    </xf>
    <xf numFmtId="0" fontId="27" fillId="0" borderId="21" xfId="0" applyFont="1" applyBorder="1" applyNumberFormat="1">
      <alignment vertical="center" wrapText="1"/>
    </xf>
    <xf numFmtId="0" fontId="27" fillId="0" borderId="25" xfId="0" applyFont="1" applyBorder="1" applyNumberFormat="1">
      <alignment horizontal="right" vertical="center" wrapText="1" indent="1"/>
    </xf>
    <xf numFmtId="0" fontId="27" fillId="0" borderId="20" xfId="0" applyFont="1" applyBorder="1" applyNumberFormat="1">
      <alignment horizontal="right" vertical="center" wrapText="1" indent="1"/>
    </xf>
    <xf numFmtId="0" fontId="27" fillId="37" borderId="21" xfId="0" applyFont="1" applyFill="1" applyBorder="1" applyNumberFormat="1">
      <alignment horizontal="left" vertical="top" wrapText="1"/>
    </xf>
    <xf numFmtId="0" fontId="27" fillId="0" borderId="21" xfId="0" applyFont="1" applyBorder="1" applyNumberFormat="1">
      <alignment horizontal="right" vertical="center" wrapText="1"/>
    </xf>
    <xf numFmtId="0" fontId="27" fillId="0" borderId="25" xfId="0" applyFont="1" applyBorder="1" applyNumberFormat="1">
      <alignment horizontal="right" vertical="center" wrapText="1"/>
    </xf>
    <xf numFmtId="0" fontId="55" fillId="0" borderId="0" xfId="0" applyFont="1" applyNumberFormat="1">
      <alignment horizontal="center" vertical="center" wrapText="1"/>
    </xf>
    <xf numFmtId="0" fontId="55" fillId="0" borderId="23" xfId="0" applyFont="1" applyBorder="1" applyNumberFormat="1">
      <alignment horizontal="left" vertical="center" wrapText="1" indent="2"/>
    </xf>
    <xf numFmtId="0" fontId="55" fillId="0" borderId="23" xfId="0" applyFont="1" applyBorder="1" applyNumberFormat="1">
      <alignment horizontal="center" vertical="center" wrapText="1"/>
    </xf>
    <xf numFmtId="0" fontId="55" fillId="0" borderId="23" xfId="0" applyFont="1" applyBorder="1" applyNumberFormat="1">
      <alignment vertical="center" wrapText="1"/>
    </xf>
    <xf numFmtId="0" fontId="55" fillId="0" borderId="66" xfId="0" applyFont="1" applyBorder="1" applyNumberFormat="1">
      <alignment horizontal="center" vertical="center" wrapText="1"/>
    </xf>
    <xf numFmtId="0" fontId="55" fillId="0" borderId="23" xfId="0" applyFont="1" applyBorder="1" applyNumberFormat="1">
      <alignment horizontal="left" vertical="center" wrapText="1" indent="3"/>
    </xf>
    <xf numFmtId="0" fontId="27" fillId="41" borderId="25" xfId="0" applyFont="1" applyFill="1" applyBorder="1" applyNumberFormat="1">
      <alignment vertical="center" wrapText="1"/>
    </xf>
    <xf numFmtId="0" fontId="37" fillId="41" borderId="20" xfId="0" applyFont="1" applyFill="1" applyBorder="1" applyNumberFormat="1">
      <alignment vertical="center" wrapText="1"/>
    </xf>
    <xf numFmtId="0" fontId="27" fillId="0" borderId="23" xfId="0" applyFont="1" applyBorder="1" applyNumberFormat="1">
      <alignment horizontal="left" vertical="center" wrapText="1" indent="2"/>
    </xf>
    <xf numFmtId="0" fontId="37" fillId="0" borderId="0" xfId="0" applyFont="1" applyNumberFormat="1">
      <alignment horizontal="left" vertical="center" wrapText="1"/>
    </xf>
    <xf numFmtId="0" fontId="44" fillId="0" borderId="23" xfId="0" applyFont="1" applyBorder="1" applyNumberFormat="1">
      <alignment horizontal="left" vertical="center" wrapText="1" indent="3"/>
    </xf>
    <xf numFmtId="0" fontId="44" fillId="0" borderId="32" xfId="0" applyFont="1" applyBorder="1" applyNumberFormat="1">
      <alignment vertical="top" wrapText="1"/>
    </xf>
    <xf numFmtId="0" fontId="27" fillId="0" borderId="21" xfId="0" applyFont="1" applyBorder="1" applyNumberFormat="1">
      <alignment horizontal="left" vertical="center" wrapText="1" indent="2"/>
    </xf>
    <xf numFmtId="0" fontId="27" fillId="0" borderId="21" xfId="0" applyFont="1" applyBorder="1" applyNumberFormat="1">
      <alignment horizontal="left" vertical="center" wrapText="1" indent="1"/>
    </xf>
    <xf numFmtId="0" fontId="44" fillId="0" borderId="42" xfId="0" applyFont="1" applyBorder="1" applyNumberFormat="1">
      <alignment horizontal="left" vertical="center" wrapText="1" indent="1"/>
    </xf>
    <xf numFmtId="0" fontId="44" fillId="0" borderId="42" xfId="0" applyFont="1" applyBorder="1" applyNumberFormat="1">
      <alignment horizontal="center" vertical="center" wrapText="1"/>
    </xf>
    <xf numFmtId="0" fontId="44" fillId="0" borderId="32" xfId="0" applyFont="1" applyBorder="1" applyNumberFormat="1">
      <alignment vertical="center" wrapText="1"/>
    </xf>
    <xf numFmtId="0" fontId="27" fillId="0" borderId="30" xfId="0" applyFont="1" applyBorder="1" applyNumberFormat="1">
      <alignment vertical="top" wrapText="1"/>
    </xf>
    <xf numFmtId="0" fontId="44" fillId="0" borderId="30" xfId="0" applyFont="1" applyBorder="1" applyNumberFormat="1">
      <alignment horizontal="left" vertical="center" wrapText="1" indent="1"/>
    </xf>
    <xf numFmtId="0" fontId="44" fillId="0" borderId="32" xfId="0" applyFont="1" applyBorder="1" applyNumberFormat="1">
      <alignment horizontal="left" vertical="center" wrapText="1" indent="1"/>
    </xf>
    <xf numFmtId="0" fontId="67" fillId="0" borderId="0" xfId="0" applyFont="1" applyNumberFormat="1">
      <alignment vertical="center" wrapText="1"/>
    </xf>
    <xf numFmtId="0" fontId="27" fillId="0" borderId="26" xfId="0" applyFont="1" applyBorder="1" applyNumberFormat="1">
      <alignment vertical="center" wrapText="1"/>
    </xf>
    <xf numFmtId="0" fontId="27" fillId="0" borderId="45" xfId="0" applyFont="1" applyBorder="1" applyNumberFormat="1">
      <alignment vertical="center" wrapText="1"/>
    </xf>
    <xf numFmtId="0" fontId="84" fillId="39" borderId="0" xfId="0" applyFont="1" applyFill="1" applyNumberFormat="1">
      <alignment horizontal="right" vertical="center"/>
    </xf>
    <xf numFmtId="0" fontId="23" fillId="0" borderId="0" xfId="0" applyFont="1" applyNumberFormat="1">
      <alignment vertical="top"/>
    </xf>
    <xf numFmtId="0" fontId="23" fillId="0" borderId="21" xfId="0" applyFont="1" applyBorder="1" applyNumberFormat="1">
      <alignment horizontal="right" vertical="center" wrapText="1" indent="1"/>
    </xf>
    <xf numFmtId="0" fontId="23" fillId="0" borderId="25" xfId="0" applyFont="1" applyBorder="1" applyNumberFormat="1">
      <alignment horizontal="right" vertical="center" wrapText="1" indent="1"/>
    </xf>
    <xf numFmtId="0" fontId="23" fillId="0" borderId="20" xfId="0" applyFont="1" applyBorder="1" applyNumberFormat="1">
      <alignment horizontal="right" vertical="center" wrapText="1" indent="1"/>
    </xf>
    <xf numFmtId="0" fontId="27" fillId="0" borderId="20" xfId="0" applyFont="1" applyBorder="1" applyNumberFormat="1">
      <alignment horizontal="left" vertical="center" wrapText="1" indent="1"/>
    </xf>
    <xf numFmtId="0" fontId="76" fillId="0" borderId="0" xfId="0" applyFont="1" applyNumberFormat="1">
      <alignment vertical="top"/>
    </xf>
    <xf numFmtId="0" fontId="77" fillId="0" borderId="0" xfId="0" applyFont="1" applyNumberFormat="1">
      <alignment vertical="top"/>
    </xf>
    <xf numFmtId="0" fontId="27" fillId="0" borderId="30" xfId="0" applyFont="1" applyBorder="1" applyNumberFormat="1">
      <alignment horizontal="left" vertical="center" wrapText="1"/>
    </xf>
    <xf numFmtId="0" fontId="44" fillId="0" borderId="28" xfId="0" applyFont="1" applyBorder="1" applyNumberFormat="1">
      <alignment vertical="center" wrapText="1"/>
    </xf>
    <xf numFmtId="0" fontId="48" fillId="0" borderId="23" xfId="0" applyFont="1" applyBorder="1" applyNumberFormat="1">
      <alignment horizontal="left" vertical="center" indent="1"/>
    </xf>
    <xf numFmtId="0" fontId="0" fillId="0" borderId="0" xfId="0" applyFont="1" applyNumberFormat="1">
      <alignment vertical="top"/>
    </xf>
    <xf numFmtId="0" fontId="37" fillId="53" borderId="23" xfId="0" applyFont="1" applyFill="1" applyBorder="1" applyNumberFormat="1">
      <alignment horizontal="left" vertical="center" wrapText="1"/>
    </xf>
    <xf numFmtId="0" fontId="27" fillId="49" borderId="23" xfId="0" applyFont="1" applyFill="1" applyBorder="1" applyNumberFormat="1">
      <alignment vertical="center"/>
    </xf>
    <xf numFmtId="0" fontId="44" fillId="0" borderId="21" xfId="0" applyFont="1" applyBorder="1" applyNumberFormat="1">
      <alignment vertical="center" wrapText="1"/>
    </xf>
    <xf numFmtId="0" fontId="27" fillId="0" borderId="26" xfId="0" applyFont="1" applyBorder="1" applyNumberFormat="1">
      <alignment horizontal="right" vertical="center" wrapText="1" indent="1"/>
    </xf>
    <xf numFmtId="0" fontId="89" fillId="0" borderId="0" xfId="0" applyFont="1" applyNumberFormat="1">
      <alignment vertical="center" wrapText="1"/>
    </xf>
    <xf numFmtId="0" fontId="37" fillId="41" borderId="25" xfId="0" applyFont="1" applyFill="1" applyBorder="1" applyNumberFormat="1">
      <alignment vertical="center" wrapText="1"/>
    </xf>
    <xf numFmtId="0" fontId="27" fillId="0" borderId="23" xfId="0" applyFont="1" applyBorder="1" applyNumberFormat="1">
      <alignment vertical="top" wrapText="1"/>
    </xf>
    <xf numFmtId="0" fontId="27" fillId="39" borderId="0" xfId="0" applyFont="1" applyFill="1" applyNumberFormat="1">
      <alignment horizontal="right" vertical="center" wrapText="1"/>
    </xf>
    <xf numFmtId="0" fontId="27" fillId="39" borderId="0" xfId="0" applyFont="1" applyFill="1" applyNumberFormat="1">
      <alignment horizontal="right" vertical="center"/>
    </xf>
    <xf numFmtId="0" fontId="27" fillId="39" borderId="21" xfId="0" applyFont="1" applyFill="1" applyBorder="1" applyNumberFormat="1">
      <alignment horizontal="center" vertical="center" wrapText="1"/>
    </xf>
    <xf numFmtId="0" fontId="27" fillId="39" borderId="25" xfId="0" applyFont="1" applyFill="1" applyBorder="1" applyNumberFormat="1">
      <alignment horizontal="center" vertical="center" wrapText="1"/>
    </xf>
    <xf numFmtId="0" fontId="27" fillId="39" borderId="27" xfId="0" applyFont="1" applyFill="1" applyBorder="1" applyNumberFormat="1">
      <alignment horizontal="center" vertical="center" wrapText="1"/>
    </xf>
    <xf numFmtId="0" fontId="27" fillId="39" borderId="23" xfId="0" applyFont="1" applyFill="1" applyBorder="1" applyNumberFormat="1">
      <alignment horizontal="center" vertical="center"/>
    </xf>
    <xf numFmtId="0" fontId="23" fillId="0" borderId="23" xfId="0" applyFont="1" applyBorder="1" applyNumberFormat="1">
      <alignment horizontal="left" vertical="top" wrapText="1"/>
    </xf>
    <xf numFmtId="0" fontId="23" fillId="0" borderId="23" xfId="0" applyFont="1" applyBorder="1" applyNumberFormat="1">
      <alignment horizontal="left" vertical="center" wrapText="1"/>
    </xf>
    <xf numFmtId="0" fontId="27" fillId="41" borderId="21" xfId="0" applyFont="1" applyFill="1" applyBorder="1" applyNumberFormat="1">
      <alignment vertical="center" wrapText="1"/>
    </xf>
    <xf numFmtId="0" fontId="44" fillId="0" borderId="25" xfId="0" applyFont="1" applyBorder="1" applyNumberFormat="1">
      <alignment horizontal="right" vertical="center" wrapText="1" indent="1"/>
    </xf>
    <xf numFmtId="0" fontId="44" fillId="0" borderId="20" xfId="0" applyFont="1" applyBorder="1" applyNumberFormat="1">
      <alignment horizontal="right" vertical="center" wrapText="1" indent="1"/>
    </xf>
    <xf numFmtId="0" fontId="44" fillId="0" borderId="21" xfId="0" applyFont="1" applyBorder="1" applyNumberFormat="1">
      <alignment horizontal="left" vertical="top" wrapText="1"/>
    </xf>
    <xf numFmtId="0" fontId="27" fillId="0" borderId="0" xfId="0" applyFont="1" applyNumberFormat="1">
      <alignment horizontal="right" vertical="top" wrapText="1"/>
    </xf>
    <xf numFmtId="0" fontId="27" fillId="0" borderId="0" xfId="0" applyFont="1" applyNumberFormat="1">
      <alignment horizontal="left" vertical="top" wrapText="1"/>
    </xf>
    <xf numFmtId="0" fontId="44" fillId="0" borderId="45" xfId="0" applyFont="1" applyBorder="1" applyNumberFormat="1">
      <alignment vertical="center" wrapText="1"/>
    </xf>
    <xf numFmtId="0" fontId="27" fillId="37" borderId="20" xfId="0" applyFont="1" applyFill="1" applyBorder="1" applyNumberFormat="1">
      <alignment horizontal="left" vertical="top" wrapText="1"/>
    </xf>
    <xf numFmtId="0" fontId="90" fillId="0" borderId="28" xfId="0" applyFont="1" applyBorder="1" applyNumberFormat="1">
      <alignment vertical="center" wrapText="1"/>
    </xf>
    <xf numFmtId="0" fontId="27" fillId="0" borderId="0" xfId="0" applyFont="1" applyNumberFormat="1">
      <alignment vertical="top" wrapText="1"/>
    </xf>
    <xf numFmtId="0" fontId="27" fillId="0" borderId="0" xfId="0" applyFont="1" applyNumberFormat="1">
      <alignment vertical="top"/>
    </xf>
    <xf numFmtId="0" fontId="27" fillId="0" borderId="52" xfId="0" applyFont="1" applyBorder="1" applyNumberFormat="1">
      <alignment horizontal="left" vertical="center" wrapText="1"/>
    </xf>
    <xf numFmtId="0" fontId="27" fillId="0" borderId="54" xfId="0" applyFont="1" applyBorder="1" applyNumberFormat="1">
      <alignment horizontal="left" vertical="center" wrapText="1" indent="1"/>
    </xf>
    <xf numFmtId="0" fontId="27" fillId="0" borderId="54" xfId="0" applyFont="1" applyBorder="1" applyNumberFormat="1">
      <alignment horizontal="left" vertical="center" wrapText="1"/>
    </xf>
    <xf numFmtId="0" fontId="27" fillId="0" borderId="49" xfId="0" applyFont="1" applyBorder="1" applyNumberFormat="1">
      <alignment horizontal="left" vertical="center" wrapText="1" indent="1"/>
    </xf>
    <xf numFmtId="0" fontId="27" fillId="0" borderId="49" xfId="0" applyFont="1" applyBorder="1" applyNumberFormat="1">
      <alignment horizontal="left" vertical="center" wrapText="1"/>
    </xf>
    <xf numFmtId="0" fontId="27" fillId="0" borderId="49" xfId="0" applyFont="1" applyBorder="1" applyNumberFormat="1">
      <alignment horizontal="left" vertical="center" wrapText="1" indent="2"/>
    </xf>
    <xf numFmtId="0" fontId="27" fillId="0" borderId="71" xfId="0" applyFont="1" applyBorder="1" applyNumberFormat="1">
      <alignment horizontal="left" vertical="center" wrapText="1"/>
    </xf>
    <xf numFmtId="0" fontId="47" fillId="0" borderId="29" xfId="0" applyFont="1" applyBorder="1" applyNumberFormat="1">
      <alignment horizontal="center" vertical="center" wrapText="1"/>
    </xf>
    <xf numFmtId="0" fontId="23" fillId="0" borderId="21" xfId="0" applyFont="1" applyBorder="1" applyNumberFormat="1">
      <alignment horizontal="center" vertical="center"/>
    </xf>
    <xf numFmtId="0" fontId="27" fillId="37" borderId="21" xfId="0" applyFont="1" applyFill="1" applyBorder="1" applyNumberFormat="1">
      <alignment horizontal="left" vertical="top" wrapText="1" indent="1"/>
    </xf>
    <xf numFmtId="0" fontId="27" fillId="37" borderId="20" xfId="0" applyFont="1" applyFill="1" applyBorder="1" applyNumberFormat="1">
      <alignment horizontal="left" vertical="top" wrapText="1" indent="1"/>
    </xf>
    <xf numFmtId="0" fontId="27" fillId="41" borderId="26" xfId="0" applyFont="1" applyFill="1" applyBorder="1" applyNumberFormat="1">
      <alignment vertical="center" wrapText="1"/>
    </xf>
    <xf numFmtId="0" fontId="27" fillId="0" borderId="20" xfId="0" applyFont="1" applyBorder="1" applyNumberFormat="1">
      <alignment vertical="center" wrapText="1"/>
    </xf>
    <xf numFmtId="0" fontId="27" fillId="41" borderId="45" xfId="0" applyFont="1" applyFill="1" applyBorder="1" applyNumberFormat="1">
      <alignment vertical="center" wrapText="1"/>
    </xf>
    <xf numFmtId="0" fontId="47" fillId="0" borderId="0" xfId="0" applyFont="1" applyNumberFormat="1">
      <alignment horizontal="center" vertical="center" wrapText="1"/>
    </xf>
    <xf numFmtId="0" fontId="87" fillId="0" borderId="0" xfId="0" applyFont="1" applyNumberFormat="1">
      <alignment vertical="center" wrapText="1"/>
    </xf>
    <xf numFmtId="0" fontId="23" fillId="39" borderId="32" xfId="0" applyFont="1" applyFill="1" applyBorder="1" applyNumberFormat="1">
      <alignment horizontal="center" vertical="center" wrapText="1"/>
    </xf>
    <xf numFmtId="0" fontId="23" fillId="0" borderId="23" xfId="0" applyFont="1" applyBorder="1" applyNumberFormat="1">
      <alignment horizontal="left" vertical="center" wrapText="1" indent="1"/>
    </xf>
    <xf numFmtId="0" fontId="27" fillId="41" borderId="34" xfId="0" applyFont="1" applyFill="1" applyBorder="1" applyNumberFormat="1">
      <alignment vertical="center" wrapText="1"/>
    </xf>
    <xf numFmtId="0" fontId="27" fillId="39" borderId="19" xfId="0" applyFont="1" applyFill="1" applyBorder="1" applyNumberFormat="1">
      <alignment vertical="center" wrapText="1"/>
    </xf>
    <xf numFmtId="0" fontId="31" fillId="39" borderId="19" xfId="0" applyFont="1" applyFill="1" applyBorder="1" applyNumberFormat="1">
      <alignment horizontal="center" wrapText="1"/>
    </xf>
    <xf numFmtId="0" fontId="27" fillId="0" borderId="15" xfId="0" applyFont="1" applyBorder="1" applyNumberFormat="1">
      <alignment horizontal="center" vertical="center"/>
    </xf>
    <xf numFmtId="0" fontId="27" fillId="0" borderId="16" xfId="0" applyFont="1" applyBorder="1" applyNumberFormat="1">
      <alignment horizontal="center" vertical="center"/>
    </xf>
    <xf numFmtId="0" fontId="27" fillId="0" borderId="17" xfId="0" applyFont="1" applyBorder="1" applyNumberFormat="1">
      <alignment horizontal="center" vertical="center"/>
    </xf>
    <xf numFmtId="0" fontId="27" fillId="0" borderId="13" xfId="0" applyFont="1" applyBorder="1" applyNumberFormat="1">
      <alignment vertical="center" wrapText="1"/>
    </xf>
    <xf numFmtId="0" fontId="27" fillId="39" borderId="26" xfId="0" applyFont="1" applyFill="1" applyBorder="1" applyNumberFormat="1">
      <alignment vertical="center" wrapText="1"/>
    </xf>
    <xf numFmtId="0" fontId="44" fillId="0" borderId="19" xfId="0" applyFont="1" applyBorder="1" applyNumberFormat="1">
      <alignment vertical="center" wrapText="1"/>
    </xf>
    <xf numFmtId="0" fontId="27" fillId="0" borderId="72" xfId="0" applyFont="1" applyBorder="1" applyNumberFormat="1">
      <alignment horizontal="center" vertical="center"/>
    </xf>
    <xf numFmtId="0" fontId="27" fillId="0" borderId="44" xfId="0" applyFont="1" applyBorder="1" applyNumberFormat="1">
      <alignment horizontal="center" vertical="center"/>
    </xf>
    <xf numFmtId="0" fontId="27" fillId="0" borderId="13" xfId="0" applyFont="1" applyBorder="1" applyNumberFormat="1">
      <alignment vertical="center"/>
    </xf>
    <xf numFmtId="0" fontId="23" fillId="37" borderId="23" xfId="0" applyFont="1" applyFill="1" applyBorder="1" applyNumberFormat="1">
      <alignment horizontal="center" vertical="center" wrapText="1"/>
    </xf>
    <xf numFmtId="0" fontId="27" fillId="0" borderId="28" xfId="0" applyFont="1" applyBorder="1" applyNumberFormat="1">
      <alignment vertical="center" wrapText="1"/>
    </xf>
    <xf numFmtId="0" fontId="27" fillId="0" borderId="27" xfId="0" applyFont="1" applyBorder="1" applyNumberFormat="1">
      <alignment horizontal="left" vertical="top" wrapText="1"/>
    </xf>
    <xf numFmtId="0" fontId="27" fillId="45" borderId="21" xfId="0" applyFont="1" applyFill="1" applyBorder="1" applyNumberFormat="1">
      <alignment horizontal="center" vertical="center" wrapText="1"/>
    </xf>
    <xf numFmtId="0" fontId="27" fillId="45" borderId="25" xfId="0" applyFont="1" applyFill="1" applyBorder="1" applyNumberFormat="1">
      <alignment horizontal="center" vertical="center" wrapText="1"/>
    </xf>
    <xf numFmtId="0" fontId="27" fillId="45" borderId="20" xfId="0" applyFont="1" applyFill="1" applyBorder="1" applyNumberFormat="1">
      <alignment horizontal="center" vertical="center" wrapText="1"/>
    </xf>
    <xf numFmtId="0" fontId="27" fillId="43" borderId="23" xfId="0" applyFont="1" applyFill="1" applyBorder="1" applyNumberFormat="1">
      <alignment horizontal="center" vertical="center" wrapText="1"/>
    </xf>
    <xf numFmtId="0" fontId="27" fillId="43" borderId="21" xfId="0" applyFont="1" applyFill="1" applyBorder="1" applyNumberFormat="1">
      <alignment horizontal="center" vertical="center" wrapText="1"/>
    </xf>
    <xf numFmtId="0" fontId="27" fillId="39" borderId="20" xfId="0" applyFont="1" applyFill="1" applyBorder="1" applyNumberFormat="1">
      <alignment horizontal="center" vertical="center" wrapText="1"/>
    </xf>
    <xf numFmtId="0" fontId="27" fillId="43" borderId="20" xfId="0" applyFont="1" applyFill="1" applyBorder="1" applyNumberFormat="1">
      <alignment horizontal="center" vertical="center" wrapText="1"/>
    </xf>
    <xf numFmtId="0" fontId="47" fillId="0" borderId="23" xfId="0" applyFont="1" applyBorder="1" applyNumberFormat="1">
      <alignment horizontal="center" vertical="center"/>
    </xf>
    <xf numFmtId="0" fontId="27" fillId="0" borderId="32" xfId="0" applyFont="1" applyBorder="1" applyNumberFormat="1">
      <alignment horizontal="right" vertical="center"/>
    </xf>
    <xf numFmtId="0" fontId="27" fillId="0" borderId="32" xfId="0" applyFont="1" applyBorder="1" applyNumberFormat="1">
      <alignment horizontal="center" vertical="center"/>
    </xf>
    <xf numFmtId="0" fontId="27" fillId="0" borderId="23" xfId="0" applyFont="1" applyBorder="1" applyNumberFormat="1">
      <alignment horizontal="right" vertical="center"/>
    </xf>
    <xf numFmtId="0" fontId="37" fillId="0" borderId="23" xfId="0" applyFont="1" applyBorder="1" applyNumberFormat="1">
      <alignment vertical="top" wrapText="1"/>
    </xf>
    <xf numFmtId="0" fontId="23" fillId="0" borderId="23" xfId="0" applyFont="1" applyBorder="1" applyNumberFormat="1">
      <alignment vertical="center" wrapText="1"/>
    </xf>
    <xf numFmtId="0" fontId="23" fillId="38" borderId="23" xfId="0" applyFont="1" applyFill="1" applyBorder="1" applyNumberFormat="1">
      <alignment horizontal="left" vertical="center" wrapText="1" indent="2"/>
      <protection locked="0"/>
    </xf>
    <xf numFmtId="0" fontId="56" fillId="0" borderId="23" xfId="0" applyFont="1" applyBorder="1" applyNumberFormat="1">
      <alignment horizontal="left" vertical="center" wrapText="1" indent="2"/>
    </xf>
    <xf numFmtId="0" fontId="27" fillId="0" borderId="32" xfId="0" applyFont="1" applyBorder="1" applyNumberFormat="1">
      <alignment vertical="top" wrapText="1"/>
    </xf>
    <xf numFmtId="0" fontId="23" fillId="38" borderId="23" xfId="0" applyFont="1" applyFill="1" applyBorder="1" applyNumberFormat="1">
      <alignment horizontal="left" vertical="center" wrapText="1"/>
      <protection locked="0"/>
    </xf>
    <xf numFmtId="0" fontId="23" fillId="0" borderId="23" xfId="0" applyFont="1" applyBorder="1" applyNumberFormat="1">
      <alignment horizontal="left" vertical="center" wrapText="1" indent="2"/>
    </xf>
    <xf numFmtId="0" fontId="27" fillId="0" borderId="25" xfId="0" applyFont="1" applyBorder="1" applyNumberFormat="1">
      <alignment horizontal="left" vertical="top" wrapText="1" indent="1"/>
    </xf>
    <xf numFmtId="0" fontId="23" fillId="39" borderId="21" xfId="0" applyFont="1" applyFill="1" applyBorder="1" applyNumberFormat="1">
      <alignment horizontal="right" vertical="center" wrapText="1" indent="1"/>
    </xf>
    <xf numFmtId="0" fontId="23" fillId="0" borderId="32" xfId="0" applyFont="1" applyBorder="1" applyNumberFormat="1">
      <alignment horizontal="left" vertical="center" wrapText="1"/>
    </xf>
    <xf numFmtId="0" fontId="70" fillId="39" borderId="0" xfId="0" applyFont="1" applyFill="1" applyNumberFormat="1">
      <alignment horizontal="center" vertical="top" wrapText="1"/>
    </xf>
    <xf numFmtId="0" fontId="23" fillId="37" borderId="21" xfId="0" applyFont="1" applyFill="1" applyBorder="1" applyNumberFormat="1">
      <alignment horizontal="left" vertical="center" wrapText="1" indent="1"/>
    </xf>
    <xf numFmtId="0" fontId="70" fillId="39" borderId="29" xfId="0" applyFont="1" applyFill="1" applyBorder="1" applyNumberFormat="1">
      <alignment horizontal="center" vertical="top" wrapText="1"/>
    </xf>
    <xf numFmtId="0" fontId="23" fillId="37" borderId="30" xfId="0" applyFont="1" applyFill="1" applyBorder="1" applyNumberFormat="1">
      <alignment horizontal="left" vertical="center" wrapText="1" indent="1"/>
    </xf>
    <xf numFmtId="0" fontId="27" fillId="0" borderId="26" xfId="0" applyFont="1" applyBorder="1" applyNumberFormat="1">
      <alignment horizontal="left" vertical="top" wrapText="1"/>
    </xf>
    <xf numFmtId="0" fontId="23" fillId="45" borderId="23" xfId="0" applyFont="1" applyFill="1" applyBorder="1" applyNumberFormat="1">
      <alignment horizontal="center" vertical="center"/>
    </xf>
    <xf numFmtId="0" fontId="27" fillId="0" borderId="23" xfId="0" applyFont="1" applyBorder="1" applyNumberFormat="1">
      <alignment vertical="center"/>
    </xf>
    <xf numFmtId="0" fontId="23" fillId="0" borderId="23" xfId="0" applyFont="1" applyBorder="1" applyNumberFormat="1">
      <alignment vertical="center"/>
    </xf>
    <xf numFmtId="0" fontId="23" fillId="0" borderId="21" xfId="0" applyFont="1" applyBorder="1" applyNumberFormat="1">
      <alignment vertical="center"/>
    </xf>
    <xf numFmtId="0" fontId="27" fillId="0" borderId="21" xfId="0" applyFont="1" applyBorder="1" applyNumberFormat="1">
      <alignment horizontal="left" vertical="center"/>
    </xf>
    <xf numFmtId="0" fontId="23" fillId="0" borderId="20" xfId="0" applyFont="1" applyBorder="1" applyNumberFormat="1">
      <alignment vertical="center"/>
    </xf>
    <xf numFmtId="0" fontId="23" fillId="0" borderId="23" xfId="0" applyFont="1" applyBorder="1" applyNumberFormat="1">
      <alignment horizontal="right" vertical="top"/>
    </xf>
    <xf numFmtId="0" fontId="23" fillId="0" borderId="23" xfId="0" applyFont="1" applyBorder="1" applyNumberFormat="1">
      <alignment vertical="top"/>
    </xf>
    <xf numFmtId="0" fontId="27" fillId="0" borderId="20" xfId="0" applyFont="1" applyBorder="1" applyNumberFormat="1">
      <alignment vertical="center"/>
    </xf>
    <xf numFmtId="0" fontId="27" fillId="0" borderId="23" xfId="0" applyFont="1" applyBorder="1" applyNumberFormat="1">
      <alignment vertical="top"/>
    </xf>
    <xf numFmtId="0" fontId="23" fillId="48" borderId="0" xfId="0" applyFont="1" applyFill="1" applyNumberFormat="1">
      <alignment horizontal="right" vertical="center"/>
    </xf>
    <xf numFmtId="0" fontId="23" fillId="48" borderId="0" xfId="0" applyFont="1" applyFill="1" applyNumberFormat="1">
      <alignment horizontal="left" vertical="center"/>
    </xf>
    <xf numFmtId="0" fontId="23" fillId="0" borderId="0" xfId="0" applyFont="1" applyNumberFormat="1">
      <alignment horizontal="right" vertical="top"/>
    </xf>
    <xf numFmtId="0" fontId="67" fillId="48" borderId="0" xfId="0" applyFont="1" applyFill="1" applyNumberFormat="1">
      <alignment horizontal="left" vertical="center"/>
    </xf>
    <xf numFmtId="0" fontId="23" fillId="0" borderId="21" xfId="0" applyFont="1" applyBorder="1" applyNumberFormat="1">
      <alignment horizontal="left" vertical="center"/>
    </xf>
    <xf numFmtId="0" fontId="23" fillId="0" borderId="32" xfId="0" applyFont="1" applyBorder="1" applyNumberFormat="1">
      <alignment vertical="top"/>
    </xf>
    <xf numFmtId="0" fontId="27" fillId="0" borderId="32" xfId="0" applyFont="1" applyBorder="1" applyNumberFormat="1">
      <alignment vertical="center"/>
    </xf>
    <xf numFmtId="0" fontId="27" fillId="48" borderId="0" xfId="0" applyFont="1" applyFill="1" applyNumberFormat="1">
      <alignment horizontal="left" vertical="center"/>
    </xf>
    <xf numFmtId="0" fontId="23" fillId="48" borderId="50" xfId="0" applyFont="1" applyFill="1" applyBorder="1" applyNumberFormat="1">
      <alignment horizontal="center"/>
    </xf>
    <xf numFmtId="0" fontId="23" fillId="0" borderId="50" xfId="0" applyFont="1" applyBorder="1" applyNumberFormat="1">
      <alignment horizontal="center"/>
    </xf>
    <xf numFmtId="0" fontId="23" fillId="37" borderId="49" xfId="0" applyFont="1" applyFill="1" applyBorder="1" applyNumberFormat="1">
      <alignment horizontal="center" vertical="center"/>
    </xf>
    <xf numFmtId="0" fontId="20" fillId="0" borderId="51" xfId="0" applyFont="1" applyBorder="1" applyNumberFormat="1">
      <alignment horizontal="center" vertical="center"/>
    </xf>
    <xf numFmtId="0" fontId="23" fillId="0" borderId="51" xfId="0" applyFont="1" applyBorder="1" applyNumberFormat="1">
      <alignment horizontal="center" vertical="center"/>
    </xf>
    <xf numFmtId="0" fontId="23" fillId="43" borderId="23" xfId="0" applyFont="1" applyFill="1" applyBorder="1" applyNumberFormat="1">
      <alignment horizontal="right" vertical="center"/>
    </xf>
    <xf numFmtId="0" fontId="27" fillId="37" borderId="35" xfId="0" applyFont="1" applyFill="1" applyBorder="1" applyNumberFormat="1">
      <alignment horizontal="center" vertical="top"/>
    </xf>
    <xf numFmtId="0" fontId="27" fillId="37" borderId="35" xfId="0" applyFont="1" applyFill="1" applyBorder="1" applyNumberFormat="1">
      <alignment horizontal="left" vertical="top"/>
    </xf>
    <xf numFmtId="0" fontId="23" fillId="0" borderId="52" xfId="0" applyFont="1" applyBorder="1" applyNumberFormat="1">
      <alignment horizontal="center" vertical="center"/>
    </xf>
    <xf numFmtId="0" fontId="23" fillId="0" borderId="53" xfId="0" applyFont="1" applyBorder="1" applyNumberFormat="1">
      <alignment horizontal="center" vertical="center"/>
    </xf>
    <xf numFmtId="0" fontId="27" fillId="0" borderId="23" xfId="0" applyFont="1" applyBorder="1" applyNumberFormat="1">
      <alignment horizontal="left" vertical="top"/>
    </xf>
    <xf numFmtId="0" fontId="23" fillId="0" borderId="54" xfId="0" applyFont="1" applyBorder="1" applyNumberFormat="1">
      <alignment horizontal="center" vertical="center"/>
    </xf>
    <xf numFmtId="0" fontId="23" fillId="48" borderId="0" xfId="0" applyFont="1" applyFill="1" applyNumberFormat="1">
      <alignment horizontal="right" vertical="top" wrapText="1"/>
    </xf>
    <xf numFmtId="0" fontId="37" fillId="39" borderId="0" xfId="0" applyFont="1" applyFill="1" applyNumberFormat="1"/>
    <xf numFmtId="0" fontId="94" fillId="39" borderId="0" xfId="0" applyFont="1" applyFill="1" applyNumberFormat="1"/>
    <xf numFmtId="0" fontId="44" fillId="39" borderId="0" xfId="0" applyFont="1" applyFill="1" applyNumberFormat="1">
      <alignment horizontal="center" vertical="center" wrapText="1"/>
    </xf>
    <xf numFmtId="0" fontId="23" fillId="39" borderId="32" xfId="0" applyFont="1" applyFill="1" applyBorder="1" applyNumberFormat="1">
      <alignment horizontal="left" vertical="top" wrapText="1"/>
    </xf>
    <xf numFmtId="0" fontId="55" fillId="39" borderId="0" xfId="0" applyFont="1" applyFill="1" applyNumberFormat="1">
      <alignment vertical="center" wrapText="1"/>
    </xf>
    <xf numFmtId="0" fontId="44" fillId="39" borderId="23" xfId="0" applyFont="1" applyFill="1" applyBorder="1" applyNumberFormat="1">
      <alignment horizontal="center" vertical="center"/>
    </xf>
    <xf numFmtId="0" fontId="23" fillId="39" borderId="42" xfId="0" applyFont="1" applyFill="1" applyBorder="1" applyNumberFormat="1">
      <alignment horizontal="left" vertical="top" wrapText="1"/>
    </xf>
    <xf numFmtId="0" fontId="56" fillId="39" borderId="0" xfId="0" applyFont="1" applyFill="1" applyNumberFormat="1"/>
    <xf numFmtId="0" fontId="23" fillId="39" borderId="30" xfId="0" applyFont="1" applyFill="1" applyBorder="1" applyNumberFormat="1">
      <alignment horizontal="left" vertical="top" wrapText="1"/>
    </xf>
    <xf numFmtId="0" fontId="89" fillId="39" borderId="0" xfId="0" applyFont="1" applyFill="1" applyNumberFormat="1"/>
    <xf numFmtId="0" fontId="27" fillId="39" borderId="23" xfId="0" applyFont="1" applyFill="1" applyBorder="1" applyNumberFormat="1">
      <alignment horizontal="left" vertical="top" wrapText="1"/>
    </xf>
    <xf numFmtId="0" fontId="27" fillId="39" borderId="23" xfId="0" applyFont="1" applyFill="1" applyBorder="1" applyNumberFormat="1">
      <alignment vertical="top" wrapText="1"/>
    </xf>
    <xf numFmtId="0" fontId="37" fillId="0" borderId="42" xfId="0" applyFont="1" applyBorder="1" applyNumberFormat="1">
      <alignment horizontal="left" vertical="center" wrapText="1" indent="1"/>
    </xf>
    <xf numFmtId="0" fontId="95" fillId="0" borderId="0" xfId="0" applyFont="1" applyNumberFormat="1">
      <alignment vertical="center"/>
    </xf>
    <xf numFmtId="0" fontId="27" fillId="37" borderId="30" xfId="0" applyFont="1" applyFill="1" applyBorder="1" applyNumberFormat="1">
      <alignment horizontal="left" vertical="center" wrapText="1" indent="1"/>
    </xf>
    <xf numFmtId="0" fontId="27" fillId="0" borderId="34" xfId="0" applyFont="1" applyBorder="1" applyNumberFormat="1">
      <alignment horizontal="left" vertical="top" wrapText="1"/>
    </xf>
    <xf numFmtId="0" fontId="27" fillId="39" borderId="42" xfId="0" applyFont="1" applyFill="1" applyBorder="1" applyNumberFormat="1">
      <alignment vertical="center" wrapText="1"/>
    </xf>
    <xf numFmtId="0" fontId="44" fillId="0" borderId="45" xfId="0" applyFont="1" applyBorder="1" applyNumberFormat="1">
      <alignment horizontal="center" vertical="center" wrapText="1"/>
    </xf>
    <xf numFmtId="0" fontId="27" fillId="39" borderId="28" xfId="0" applyFont="1" applyFill="1" applyBorder="1" applyNumberFormat="1">
      <alignment vertical="center" wrapText="1"/>
    </xf>
    <xf numFmtId="0" fontId="27" fillId="0" borderId="25" xfId="0" applyFont="1" applyBorder="1" applyNumberFormat="1">
      <alignment horizontal="left" vertical="center" wrapText="1"/>
    </xf>
    <xf numFmtId="0" fontId="46" fillId="0" borderId="0" xfId="0" applyFont="1" applyNumberFormat="1">
      <alignment horizontal="center" vertical="center" wrapText="1"/>
    </xf>
    <xf numFmtId="0" fontId="27" fillId="37" borderId="34" xfId="0" applyFont="1" applyFill="1" applyBorder="1" applyNumberFormat="1">
      <alignment horizontal="left" vertical="center" wrapText="1"/>
    </xf>
    <xf numFmtId="0" fontId="93" fillId="39" borderId="0" xfId="0" applyFont="1" applyFill="1" applyNumberFormat="1">
      <alignment horizontal="center" vertical="center" wrapText="1"/>
    </xf>
    <xf numFmtId="0" fontId="28" fillId="39" borderId="0" xfId="0" applyFont="1" applyFill="1" applyNumberFormat="1"/>
    <xf numFmtId="0" fontId="27" fillId="0" borderId="0" xfId="0" applyFont="1" applyNumberFormat="1"/>
    <xf numFmtId="0" fontId="50" fillId="39" borderId="0" xfId="0" applyFont="1" applyFill="1" applyNumberFormat="1">
      <alignment horizontal="center" vertical="center"/>
    </xf>
    <xf numFmtId="0" fontId="27" fillId="39" borderId="32" xfId="0" applyFont="1" applyFill="1" applyBorder="1" applyNumberFormat="1">
      <alignment horizontal="center" vertical="center"/>
    </xf>
    <xf numFmtId="0" fontId="50" fillId="0" borderId="0" xfId="0" applyFont="1" applyNumberFormat="1">
      <alignment horizontal="center" vertical="center"/>
    </xf>
    <xf numFmtId="0" fontId="50" fillId="39" borderId="0" xfId="0" applyFont="1" applyFill="1" applyNumberFormat="1">
      <alignment horizontal="center"/>
    </xf>
    <xf numFmtId="0" fontId="47" fillId="0" borderId="0" xfId="0" applyFont="1" applyNumberFormat="1">
      <alignment vertical="top" wrapText="1"/>
    </xf>
    <xf numFmtId="0" fontId="53" fillId="0" borderId="23" xfId="0" applyFont="1" applyBorder="1" applyNumberFormat="1">
      <alignment horizontal="left" vertical="center" wrapText="1" indent="1"/>
    </xf>
    <xf numFmtId="0" fontId="54" fillId="0" borderId="32" xfId="0" applyFont="1" applyBorder="1" applyNumberFormat="1">
      <alignment horizontal="center" vertical="center" wrapText="1"/>
    </xf>
    <xf numFmtId="0" fontId="53" fillId="0" borderId="23" xfId="0" applyFont="1" applyBorder="1" applyNumberFormat="1">
      <alignment horizontal="left" vertical="top" indent="1"/>
    </xf>
    <xf numFmtId="0" fontId="27" fillId="39" borderId="0" xfId="0" applyFont="1" applyFill="1" applyNumberFormat="1">
      <alignment horizontal="center" vertical="top" wrapText="1"/>
    </xf>
    <xf numFmtId="0" fontId="44" fillId="39" borderId="23" xfId="0" applyFont="1" applyFill="1" applyBorder="1" applyNumberFormat="1">
      <alignment horizontal="center" vertical="center" wrapText="1"/>
    </xf>
    <xf numFmtId="0" fontId="23" fillId="38" borderId="21" xfId="0" applyFont="1" applyFill="1" applyBorder="1" applyNumberFormat="1">
      <alignment horizontal="left" vertical="center" wrapText="1" indent="2"/>
      <protection locked="0"/>
    </xf>
    <xf numFmtId="0" fontId="50" fillId="0" borderId="29" xfId="0" applyFont="1" applyBorder="1" applyNumberFormat="1">
      <alignment horizontal="center" vertical="center" wrapText="1"/>
    </xf>
    <xf numFmtId="0" fontId="23" fillId="37" borderId="23" xfId="0" applyFont="1" applyFill="1" applyBorder="1" applyNumberFormat="1">
      <alignment horizontal="left" vertical="top" wrapText="1" indent="1"/>
    </xf>
    <xf numFmtId="0" fontId="27" fillId="37" borderId="23" xfId="0" applyFont="1" applyFill="1" applyBorder="1" applyNumberFormat="1">
      <alignment horizontal="center" vertical="top" wrapText="1"/>
    </xf>
    <xf numFmtId="0" fontId="27" fillId="35" borderId="23" xfId="0" applyFont="1" applyFill="1" applyBorder="1" applyNumberFormat="1">
      <alignment horizontal="left" vertical="top" wrapText="1"/>
      <protection locked="0"/>
    </xf>
    <xf numFmtId="0" fontId="27" fillId="0" borderId="29" xfId="0" applyFont="1" applyBorder="1" applyNumberFormat="1">
      <alignment vertical="top" wrapText="1"/>
    </xf>
    <xf numFmtId="0" fontId="23" fillId="37" borderId="42" xfId="0" applyFont="1" applyFill="1" applyBorder="1" applyNumberFormat="1">
      <alignment horizontal="left" vertical="top" wrapText="1" indent="1"/>
    </xf>
    <xf numFmtId="0" fontId="27" fillId="37" borderId="42" xfId="0" applyFont="1" applyFill="1" applyBorder="1" applyNumberFormat="1">
      <alignment horizontal="center" vertical="top" wrapText="1"/>
    </xf>
    <xf numFmtId="0" fontId="27" fillId="35" borderId="42" xfId="0" applyFont="1" applyFill="1" applyBorder="1" applyNumberFormat="1">
      <alignment horizontal="left" vertical="top" wrapText="1"/>
      <protection locked="0"/>
    </xf>
    <xf numFmtId="0" fontId="71" fillId="0" borderId="55" xfId="0" applyFont="1" applyBorder="1" applyNumberFormat="1">
      <alignment horizontal="left" vertical="center" indent="1"/>
    </xf>
    <xf numFmtId="0" fontId="71" fillId="0" borderId="56" xfId="0" applyFont="1" applyBorder="1" applyNumberFormat="1">
      <alignment horizontal="left" vertical="center" indent="1"/>
    </xf>
    <xf numFmtId="0" fontId="23" fillId="0" borderId="56" xfId="0" applyFont="1" applyBorder="1" applyNumberFormat="1">
      <alignment horizontal="left" vertical="center" wrapText="1"/>
    </xf>
    <xf numFmtId="0" fontId="27" fillId="0" borderId="56" xfId="0" applyFont="1" applyBorder="1" applyNumberFormat="1">
      <alignment vertical="center" wrapText="1"/>
    </xf>
    <xf numFmtId="0" fontId="27" fillId="0" borderId="57" xfId="0" applyFont="1" applyBorder="1" applyNumberFormat="1">
      <alignment vertical="center" wrapText="1"/>
    </xf>
    <xf numFmtId="0" fontId="27" fillId="0" borderId="58" xfId="0" applyFont="1" applyBorder="1" applyNumberFormat="1">
      <alignment vertical="center" wrapText="1"/>
    </xf>
    <xf numFmtId="0" fontId="72" fillId="0" borderId="23" xfId="0" applyFont="1" applyBorder="1" applyNumberFormat="1">
      <alignment horizontal="center" vertical="center"/>
    </xf>
    <xf numFmtId="0" fontId="72" fillId="0" borderId="23" xfId="0" applyFont="1" applyBorder="1" applyNumberFormat="1">
      <alignment horizontal="left" vertical="center" wrapText="1" indent="1"/>
    </xf>
    <xf numFmtId="0" fontId="23" fillId="41" borderId="61" xfId="0" applyFont="1" applyFill="1" applyBorder="1" applyNumberFormat="1">
      <alignment horizontal="left" vertical="center"/>
    </xf>
    <xf numFmtId="0" fontId="27" fillId="41" borderId="61" xfId="0" applyFont="1" applyFill="1" applyBorder="1" applyNumberFormat="1">
      <alignment vertical="center" wrapText="1"/>
    </xf>
    <xf numFmtId="0" fontId="27" fillId="41" borderId="62" xfId="0" applyFont="1" applyFill="1" applyBorder="1" applyNumberFormat="1">
      <alignment vertical="center" wrapText="1"/>
    </xf>
    <xf numFmtId="0" fontId="49" fillId="0" borderId="23" xfId="0" applyFont="1" applyBorder="1" applyNumberFormat="1">
      <alignment horizontal="center" vertical="center"/>
    </xf>
    <xf numFmtId="0" fontId="49" fillId="40" borderId="23" xfId="0" applyFont="1" applyFill="1" applyBorder="1" applyNumberFormat="1">
      <alignment horizontal="left" vertical="center" wrapText="1" indent="1"/>
    </xf>
    <xf numFmtId="0" fontId="49" fillId="0" borderId="20" xfId="0" applyFont="1" applyBorder="1" applyNumberFormat="1">
      <alignment horizontal="center" vertical="center"/>
    </xf>
    <xf numFmtId="0" fontId="71" fillId="0" borderId="63" xfId="0" applyFont="1" applyBorder="1" applyNumberFormat="1">
      <alignment horizontal="left" vertical="center" indent="1"/>
    </xf>
    <xf numFmtId="0" fontId="27" fillId="0" borderId="64" xfId="0" applyFont="1" applyBorder="1" applyNumberFormat="1">
      <alignment horizontal="right" vertical="center"/>
    </xf>
    <xf numFmtId="0" fontId="27" fillId="0" borderId="64" xfId="0" applyFont="1" applyBorder="1" applyNumberFormat="1">
      <alignment horizontal="center" vertical="center"/>
    </xf>
    <xf numFmtId="0" fontId="27" fillId="0" borderId="25" xfId="0" applyFont="1" applyBorder="1" applyNumberFormat="1">
      <alignment horizontal="right" vertical="center"/>
    </xf>
    <xf numFmtId="0" fontId="27" fillId="0" borderId="20" xfId="0" applyFont="1" applyBorder="1" applyNumberFormat="1">
      <alignment horizontal="right" vertical="center"/>
    </xf>
    <xf numFmtId="0" fontId="27" fillId="43" borderId="23" xfId="0" applyFont="1" applyFill="1" applyBorder="1" applyNumberFormat="1">
      <alignment horizontal="right" vertical="center"/>
    </xf>
    <xf numFmtId="0" fontId="44" fillId="0" borderId="30" xfId="0" applyFont="1" applyBorder="1" applyNumberFormat="1">
      <alignment vertical="center" wrapText="1"/>
    </xf>
    <xf numFmtId="0" fontId="44" fillId="0" borderId="23" xfId="0" applyFont="1" applyBorder="1" applyNumberFormat="1">
      <alignment horizontal="left" vertical="center" indent="1"/>
    </xf>
    <xf numFmtId="0" fontId="27" fillId="40" borderId="23" xfId="0" applyFont="1" applyFill="1" applyBorder="1" applyNumberFormat="1">
      <alignment horizontal="left" vertical="top" wrapText="1"/>
    </xf>
    <xf numFmtId="0" fontId="23" fillId="40" borderId="23" xfId="0" applyFont="1" applyFill="1" applyBorder="1" applyNumberFormat="1">
      <alignment horizontal="left" vertical="center" wrapText="1"/>
    </xf>
    <xf numFmtId="0" fontId="48" fillId="41" borderId="21" xfId="0" applyFont="1" applyFill="1" applyBorder="1" applyNumberFormat="1">
      <alignment horizontal="left" vertical="center"/>
    </xf>
    <xf numFmtId="0" fontId="48" fillId="41" borderId="25" xfId="0" applyFont="1" applyFill="1" applyBorder="1" applyNumberFormat="1">
      <alignment horizontal="left" vertical="center"/>
    </xf>
    <xf numFmtId="0" fontId="48" fillId="41" borderId="20" xfId="0" applyFont="1" applyFill="1" applyBorder="1" applyNumberFormat="1">
      <alignment horizontal="left" vertical="center"/>
    </xf>
    <xf numFmtId="0" fontId="23" fillId="41" borderId="25" xfId="0" applyFont="1" applyFill="1" applyBorder="1" applyNumberFormat="1">
      <alignment vertical="center"/>
    </xf>
    <xf numFmtId="0" fontId="48" fillId="0" borderId="42" xfId="0" applyFont="1" applyBorder="1" applyNumberFormat="1">
      <alignment horizontal="left" vertical="center"/>
    </xf>
    <xf numFmtId="0" fontId="48" fillId="35" borderId="42" xfId="0" applyFont="1" applyFill="1" applyBorder="1" applyNumberFormat="1">
      <alignment horizontal="left" vertical="center"/>
      <protection locked="0"/>
    </xf>
    <xf numFmtId="0" fontId="48" fillId="38" borderId="42" xfId="0" applyFont="1" applyFill="1" applyBorder="1" applyNumberFormat="1">
      <alignment horizontal="left" vertical="center"/>
      <protection locked="0"/>
    </xf>
    <xf numFmtId="0" fontId="44" fillId="0" borderId="21" xfId="0" applyFont="1" applyBorder="1" applyNumberFormat="1">
      <alignment horizontal="left" vertical="center"/>
    </xf>
    <xf numFmtId="0" fontId="44" fillId="0" borderId="25" xfId="0" applyFont="1" applyBorder="1" applyNumberFormat="1">
      <alignment horizontal="left" vertical="center"/>
    </xf>
    <xf numFmtId="0" fontId="48" fillId="41" borderId="34" xfId="0" applyFont="1" applyFill="1" applyBorder="1" applyNumberFormat="1">
      <alignment horizontal="left" vertical="center"/>
    </xf>
    <xf numFmtId="0" fontId="27" fillId="0" borderId="29" xfId="0" applyFont="1" applyBorder="1" applyNumberFormat="1">
      <alignment horizontal="center" vertical="center"/>
    </xf>
    <xf numFmtId="0" fontId="27" fillId="40" borderId="32" xfId="0" applyFont="1" applyFill="1" applyBorder="1" applyNumberFormat="1">
      <alignment horizontal="left" vertical="center" wrapText="1"/>
    </xf>
    <xf numFmtId="0" fontId="27" fillId="0" borderId="42" xfId="0" applyFont="1" applyBorder="1" applyNumberFormat="1">
      <alignment horizontal="left" vertical="center" wrapText="1"/>
    </xf>
    <xf numFmtId="0" fontId="27" fillId="40" borderId="42" xfId="0" applyFont="1" applyFill="1" applyBorder="1" applyNumberFormat="1">
      <alignment horizontal="left" vertical="center" wrapText="1"/>
    </xf>
    <xf numFmtId="0" fontId="48" fillId="0" borderId="30" xfId="0" applyFont="1" applyBorder="1" applyNumberFormat="1">
      <alignment horizontal="left" vertical="center"/>
    </xf>
    <xf numFmtId="0" fontId="48" fillId="41" borderId="33" xfId="0" applyFont="1" applyFill="1" applyBorder="1" applyNumberFormat="1">
      <alignment horizontal="left" vertical="center"/>
    </xf>
    <xf numFmtId="0" fontId="48" fillId="41" borderId="26" xfId="0" applyFont="1" applyFill="1" applyBorder="1" applyNumberFormat="1">
      <alignment horizontal="left" vertical="center"/>
    </xf>
    <xf numFmtId="0" fontId="48" fillId="41" borderId="27" xfId="0" applyFont="1" applyFill="1" applyBorder="1" applyNumberFormat="1">
      <alignment horizontal="left" vertical="center"/>
    </xf>
    <xf numFmtId="0" fontId="48" fillId="41" borderId="33" xfId="0" applyFont="1" applyFill="1" applyBorder="1" applyNumberFormat="1">
      <alignment vertical="center"/>
    </xf>
    <xf numFmtId="0" fontId="33" fillId="0" borderId="23" xfId="0" applyFont="1" applyBorder="1" applyNumberFormat="1">
      <alignment vertical="top" wrapText="1"/>
    </xf>
    <xf numFmtId="0" fontId="66" fillId="0" borderId="23" xfId="0" applyFont="1" applyBorder="1" applyNumberFormat="1">
      <alignment vertical="top" wrapText="1"/>
    </xf>
    <xf numFmtId="0" fontId="33" fillId="43" borderId="23" xfId="0" applyFont="1" applyFill="1" applyBorder="1" applyNumberFormat="1">
      <alignment horizontal="center" vertical="top" wrapText="1"/>
    </xf>
    <xf numFmtId="0" fontId="66" fillId="43" borderId="23" xfId="0" applyFont="1" applyFill="1" applyBorder="1" applyNumberFormat="1">
      <alignment horizontal="right" vertical="center" wrapText="1"/>
    </xf>
    <xf numFmtId="0" fontId="66" fillId="0" borderId="23" xfId="0" applyFont="1" applyBorder="1" applyNumberFormat="1">
      <alignment horizontal="left" vertical="top" wrapText="1"/>
    </xf>
    <xf numFmtId="0" fontId="66" fillId="43" borderId="23" xfId="0" applyFont="1" applyFill="1" applyBorder="1" applyNumberFormat="1">
      <alignment horizontal="center" vertical="center" wrapText="1"/>
    </xf>
    <xf numFmtId="0" fontId="66" fillId="0" borderId="32" xfId="0" applyFont="1" applyBorder="1" applyNumberFormat="1">
      <alignment horizontal="left" vertical="top" wrapText="1"/>
    </xf>
    <xf numFmtId="0" fontId="66" fillId="0" borderId="20" xfId="0" applyFont="1" applyBorder="1" applyNumberFormat="1">
      <alignment horizontal="left" vertical="top" wrapText="1"/>
    </xf>
    <xf numFmtId="0" fontId="66" fillId="0" borderId="32" xfId="0" applyFont="1" applyBorder="1" applyNumberFormat="1">
      <alignment vertical="top" wrapText="1"/>
    </xf>
    <xf numFmtId="0" fontId="33" fillId="0" borderId="21" xfId="0" applyFont="1" applyBorder="1" applyNumberFormat="1">
      <alignment horizontal="center" vertical="center" wrapText="1"/>
    </xf>
    <xf numFmtId="0" fontId="33" fillId="0" borderId="21" xfId="0" applyFont="1" applyBorder="1" applyNumberFormat="1">
      <alignment horizontal="center" vertical="center"/>
    </xf>
    <xf numFmtId="0" fontId="33" fillId="0" borderId="23" xfId="0" applyFont="1" applyBorder="1" applyNumberFormat="1">
      <alignment vertical="center" wrapText="1"/>
    </xf>
    <xf numFmtId="0" fontId="33" fillId="0" borderId="23" xfId="0" applyFont="1" applyBorder="1" applyNumberFormat="1">
      <alignment horizontal="center" vertical="center" wrapText="1"/>
    </xf>
    <xf numFmtId="0" fontId="33" fillId="0" borderId="32" xfId="0" applyFont="1" applyBorder="1" applyNumberFormat="1">
      <alignment vertical="center" wrapText="1"/>
    </xf>
    <xf numFmtId="0" fontId="33" fillId="0" borderId="30" xfId="0" applyFont="1" applyBorder="1" applyNumberFormat="1">
      <alignment vertical="center" wrapText="1"/>
    </xf>
    <xf numFmtId="0" fontId="33" fillId="0" borderId="32" xfId="0" applyFont="1" applyBorder="1" applyNumberFormat="1">
      <alignment horizontal="center" vertical="center" wrapText="1"/>
    </xf>
    <xf numFmtId="0" fontId="66" fillId="0" borderId="42" xfId="0" applyFont="1" applyBorder="1" applyNumberFormat="1">
      <alignment horizontal="left" vertical="top" wrapText="1"/>
    </xf>
    <xf numFmtId="0" fontId="21" fillId="0" borderId="26" xfId="0" applyFont="1" applyBorder="1" applyNumberFormat="1">
      <alignment horizontal="left" vertical="center" wrapText="1" indent="1"/>
    </xf>
    <xf numFmtId="0" fontId="21" fillId="0" borderId="45" xfId="0" applyFont="1" applyBorder="1" applyNumberFormat="1">
      <alignment horizontal="left" vertical="center" wrapText="1" indent="1"/>
    </xf>
    <xf numFmtId="0" fontId="23" fillId="0" borderId="0" xfId="0" applyFont="1" applyNumberFormat="1"/>
    <xf numFmtId="0" fontId="23" fillId="0" borderId="24" xfId="0" applyFont="1" applyBorder="1" applyNumberFormat="1">
      <alignment vertical="top" wrapText="1"/>
    </xf>
    <xf numFmtId="0" fontId="21" fillId="0" borderId="74" xfId="0" applyFont="1" applyBorder="1" applyNumberFormat="1">
      <alignment vertical="top" wrapText="1"/>
    </xf>
    <xf numFmtId="0" fontId="23" fillId="0" borderId="23" xfId="0" applyFont="1" applyBorder="1" applyNumberFormat="1">
      <alignment vertical="top" wrapText="1"/>
    </xf>
    <xf numFmtId="0" fontId="31" fillId="0" borderId="24" xfId="0" applyFont="1" applyBorder="1" applyNumberFormat="1">
      <alignment vertical="center" wrapText="1"/>
    </xf>
    <xf numFmtId="0" fontId="21" fillId="0" borderId="0" xfId="0" applyFont="1" applyNumberFormat="1">
      <alignment vertical="top" wrapText="1"/>
    </xf>
    <xf numFmtId="0" fontId="27" fillId="0" borderId="24"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1" fillId="33" borderId="10" xfId="0" applyFont="1" applyFill="1" applyBorder="1" applyNumberFormat="1">
      <alignment horizontal="center" vertical="center" wrapText="1"/>
    </xf>
    <xf numFmtId="0" fontId="21" fillId="33" borderId="11" xfId="0" applyFont="1" applyFill="1" applyBorder="1" applyNumberFormat="1">
      <alignment horizontal="center" vertical="center" wrapText="1"/>
    </xf>
    <xf numFmtId="0" fontId="21" fillId="33" borderId="12" xfId="0" applyFont="1" applyFill="1" applyBorder="1" applyNumberFormat="1">
      <alignment horizontal="center" vertical="center" wrapText="1"/>
    </xf>
    <xf numFmtId="0" fontId="21" fillId="34" borderId="13" xfId="0" applyFont="1" applyFill="1" applyBorder="1" applyNumberFormat="1">
      <alignment horizontal="right" vertical="center" wrapText="1" indent="1"/>
    </xf>
    <xf numFmtId="0" fontId="21" fillId="34" borderId="14" xfId="0" applyFont="1" applyFill="1" applyBorder="1" applyNumberFormat="1">
      <alignment horizontal="right" vertical="center" wrapText="1" indent="1"/>
    </xf>
    <xf numFmtId="0" fontId="22" fillId="0" borderId="13" xfId="0" applyFont="1" applyBorder="1" applyNumberFormat="1">
      <alignment wrapText="1"/>
    </xf>
    <xf numFmtId="0" fontId="23" fillId="35" borderId="15" xfId="0" applyFont="1" applyFill="1" applyBorder="1" applyNumberFormat="1">
      <alignment horizontal="center" vertical="center" wrapText="1"/>
    </xf>
    <xf numFmtId="0" fontId="24" fillId="0" borderId="13" xfId="0" applyFont="1" applyBorder="1" applyNumberFormat="1">
      <alignment vertical="center" wrapText="1"/>
    </xf>
    <xf numFmtId="0" fontId="23" fillId="36" borderId="15" xfId="0" applyFont="1" applyFill="1" applyBorder="1" applyNumberFormat="1">
      <alignment horizontal="center" vertical="center" wrapText="1"/>
    </xf>
    <xf numFmtId="0" fontId="24" fillId="0" borderId="13" xfId="0" applyFont="1" applyBorder="1" applyNumberFormat="1">
      <alignment horizontal="left" vertical="center" wrapText="1"/>
    </xf>
    <xf numFmtId="0" fontId="23" fillId="37" borderId="15" xfId="0" applyFont="1" applyFill="1" applyBorder="1" applyNumberFormat="1">
      <alignment horizontal="center" vertical="center" wrapText="1"/>
    </xf>
    <xf numFmtId="0" fontId="23" fillId="38" borderId="15" xfId="0" applyFont="1" applyFill="1" applyBorder="1" applyNumberFormat="1">
      <alignment horizontal="center" vertical="center" wrapText="1"/>
    </xf>
    <xf numFmtId="0" fontId="21" fillId="34" borderId="0" xfId="0" applyFont="1" applyFill="1" applyNumberFormat="1">
      <alignment horizontal="right" vertical="center" wrapText="1" indent="1"/>
    </xf>
    <xf numFmtId="0" fontId="25" fillId="0" borderId="13" xfId="0" applyFont="1" applyBorder="1" applyNumberFormat="1">
      <alignment horizontal="left" vertical="center" wrapText="1"/>
    </xf>
    <xf numFmtId="0" fontId="25" fillId="0" borderId="16" xfId="0" applyFont="1" applyBorder="1" applyNumberFormat="1">
      <alignment horizontal="left" vertical="center" wrapText="1"/>
    </xf>
    <xf numFmtId="0" fontId="21" fillId="34" borderId="15" xfId="0" applyFont="1" applyFill="1" applyBorder="1" applyNumberFormat="1">
      <alignment horizontal="right" vertical="center" wrapText="1" indent="1"/>
    </xf>
    <xf numFmtId="0" fontId="21" fillId="34" borderId="17" xfId="0" applyFont="1" applyFill="1" applyBorder="1" applyNumberFormat="1">
      <alignment horizontal="right" vertical="center" wrapText="1" indent="1"/>
    </xf>
    <xf numFmtId="0" fontId="24" fillId="0" borderId="13" xfId="0" applyFont="1" applyBorder="1" applyNumberFormat="1">
      <alignment wrapText="1"/>
    </xf>
    <xf numFmtId="0" fontId="24" fillId="0" borderId="0" xfId="0" applyFont="1" applyNumberFormat="1">
      <alignment vertical="center" wrapText="1"/>
    </xf>
    <xf numFmtId="0" fontId="24" fillId="0" borderId="0" xfId="0" applyFont="1" applyNumberFormat="1">
      <alignment vertical="top" wrapText="1"/>
    </xf>
    <xf numFmtId="0" fontId="21" fillId="34" borderId="18" xfId="0" applyFont="1" applyFill="1" applyBorder="1" applyNumberFormat="1">
      <alignment horizontal="right" vertical="center" wrapText="1" indent="1"/>
    </xf>
    <xf numFmtId="0" fontId="21" fillId="34" borderId="19" xfId="0" applyFont="1" applyFill="1" applyBorder="1" applyNumberFormat="1">
      <alignment horizontal="right" vertical="center" wrapText="1" indent="1"/>
    </xf>
    <xf numFmtId="0" fontId="22" fillId="0" borderId="18" xfId="0" applyFont="1" applyBorder="1" applyNumberFormat="1">
      <alignment wrapText="1"/>
    </xf>
    <xf numFmtId="0" fontId="22" fillId="0" borderId="19" xfId="0" applyFont="1" applyBorder="1" applyNumberFormat="1">
      <alignment wrapText="1"/>
    </xf>
    <xf numFmtId="0" fontId="22" fillId="0" borderId="19" xfId="0" applyFont="1" applyBorder="1" applyNumberFormat="1">
      <alignment vertical="center" wrapText="1"/>
    </xf>
    <xf numFmtId="0" fontId="0" fillId="0" borderId="0" xfId="0" applyFont="1" applyNumberFormat="1">
      <alignment vertical="top"/>
    </xf>
    <xf numFmtId="0" fontId="26" fillId="0" borderId="0" xfId="0" applyFont="1" applyNumberFormat="1">
      <alignment vertical="center" wrapText="1"/>
    </xf>
    <xf numFmtId="0" fontId="27" fillId="0" borderId="0" xfId="0" applyFont="1" applyNumberFormat="1">
      <alignment horizontal="left" vertical="top" indent="1"/>
    </xf>
    <xf numFmtId="0" fontId="28" fillId="0" borderId="0" xfId="0" applyFont="1" applyNumberFormat="1">
      <alignment vertical="center" wrapText="1"/>
    </xf>
    <xf numFmtId="0" fontId="23" fillId="0" borderId="0" xfId="0" applyFont="1" applyNumberFormat="1">
      <alignment horizontal="left" vertical="center" indent="1"/>
    </xf>
    <xf numFmtId="0" fontId="27" fillId="0" borderId="0" xfId="0" applyFont="1" applyNumberFormat="1">
      <alignment vertical="center" wrapText="1"/>
    </xf>
    <xf numFmtId="0" fontId="29" fillId="39" borderId="0" xfId="0" applyFont="1" applyFill="1" applyNumberFormat="1">
      <alignment vertical="center" wrapText="1"/>
    </xf>
    <xf numFmtId="0" fontId="29" fillId="0" borderId="0" xfId="0" applyFont="1" applyNumberFormat="1">
      <alignment vertical="center" wrapText="1"/>
    </xf>
    <xf numFmtId="0" fontId="30" fillId="39" borderId="0" xfId="0" applyFont="1" applyFill="1" applyNumberFormat="1">
      <alignment vertical="center" wrapText="1"/>
    </xf>
    <xf numFmtId="0" fontId="27" fillId="0" borderId="20" xfId="0" applyFont="1" applyBorder="1" applyNumberFormat="1">
      <alignment horizontal="center" vertical="center" wrapText="1"/>
    </xf>
    <xf numFmtId="0" fontId="27" fillId="0" borderId="21" xfId="0" applyFont="1" applyBorder="1" applyNumberFormat="1">
      <alignment horizontal="center" vertical="center" wrapText="1"/>
    </xf>
    <xf numFmtId="0" fontId="31" fillId="39" borderId="0" xfId="0" applyFont="1" applyFill="1" applyNumberFormat="1">
      <alignment vertical="center" wrapText="1"/>
    </xf>
    <xf numFmtId="0" fontId="29" fillId="39" borderId="0" xfId="0" applyFont="1" applyFill="1" applyNumberFormat="1">
      <alignment horizontal="right" vertical="center" wrapText="1" indent="1"/>
    </xf>
    <xf numFmtId="0" fontId="32" fillId="39" borderId="0" xfId="0" applyFont="1" applyFill="1" applyNumberFormat="1">
      <alignment horizontal="center" vertical="center" wrapText="1"/>
    </xf>
    <xf numFmtId="0" fontId="27" fillId="39" borderId="22" xfId="0" applyFont="1" applyFill="1" applyBorder="1" applyNumberFormat="1">
      <alignment horizontal="right" vertical="center" wrapText="1" indent="1"/>
    </xf>
    <xf numFmtId="0" fontId="23" fillId="37" borderId="23" xfId="0" applyFont="1" applyFill="1" applyBorder="1" applyNumberFormat="1">
      <alignment horizontal="left" vertical="center" wrapText="1" indent="1"/>
    </xf>
    <xf numFmtId="0" fontId="34" fillId="39" borderId="0" xfId="0" applyFont="1" applyFill="1" applyNumberFormat="1">
      <alignment horizontal="center" vertical="center" wrapText="1"/>
    </xf>
    <xf numFmtId="0" fontId="29" fillId="39" borderId="0" xfId="0" applyFont="1" applyFill="1" applyNumberFormat="1">
      <alignment horizontal="left" vertical="center" wrapText="1" indent="1"/>
    </xf>
    <xf numFmtId="0" fontId="27" fillId="39" borderId="0" xfId="0" applyFont="1" applyFill="1" applyNumberFormat="1">
      <alignment horizontal="center" vertical="center" wrapText="1"/>
    </xf>
    <xf numFmtId="0" fontId="27" fillId="38" borderId="23" xfId="0" applyFont="1" applyFill="1" applyBorder="1" applyNumberFormat="1">
      <alignment horizontal="left" vertical="top" wrapText="1" indent="1"/>
      <protection locked="0"/>
    </xf>
    <xf numFmtId="0" fontId="27" fillId="0" borderId="0" xfId="0" applyFont="1" applyNumberFormat="1">
      <alignment horizontal="left" vertical="center" wrapText="1"/>
    </xf>
    <xf numFmtId="0" fontId="36" fillId="0" borderId="0" xfId="0" applyFont="1" applyNumberFormat="1">
      <alignment horizontal="left" vertical="center" indent="1"/>
    </xf>
    <xf numFmtId="0" fontId="37" fillId="0" borderId="0" xfId="0" applyFont="1" applyNumberFormat="1">
      <alignment vertical="center" wrapText="1"/>
    </xf>
    <xf numFmtId="0" fontId="27" fillId="39" borderId="0" xfId="0" applyFont="1" applyFill="1" applyNumberFormat="1">
      <alignment vertical="center" wrapText="1"/>
    </xf>
    <xf numFmtId="0" fontId="23" fillId="38" borderId="23" xfId="0" applyFont="1" applyFill="1" applyBorder="1" applyNumberFormat="1">
      <alignment horizontal="left" vertical="center" wrapText="1" indent="1"/>
      <protection locked="0"/>
    </xf>
    <xf numFmtId="0" fontId="23" fillId="39" borderId="0" xfId="0" applyFont="1" applyFill="1" applyNumberFormat="1">
      <alignment horizontal="right" vertical="center" wrapText="1" indent="1"/>
    </xf>
    <xf numFmtId="0" fontId="38" fillId="0" borderId="0" xfId="0" applyFont="1" applyNumberFormat="1">
      <alignment horizontal="left" vertical="center" wrapText="1"/>
    </xf>
    <xf numFmtId="0" fontId="27" fillId="39" borderId="0" xfId="0" applyFont="1" applyFill="1" applyNumberFormat="1">
      <alignment horizontal="right" vertical="center" wrapText="1" indent="1"/>
    </xf>
    <xf numFmtId="0" fontId="27" fillId="0" borderId="0" xfId="0" applyFont="1" applyNumberFormat="1">
      <alignment horizontal="center" vertical="center" wrapText="1"/>
    </xf>
    <xf numFmtId="0" fontId="38" fillId="0" borderId="0" xfId="0" applyFont="1" applyNumberFormat="1">
      <alignment vertical="center" wrapText="1"/>
    </xf>
    <xf numFmtId="0" fontId="23" fillId="39" borderId="0" xfId="0" applyFont="1" applyFill="1" applyNumberFormat="1">
      <alignment horizontal="left" vertical="center" wrapText="1" indent="1"/>
    </xf>
    <xf numFmtId="0" fontId="39" fillId="39" borderId="0" xfId="0" applyFont="1" applyFill="1" applyNumberFormat="1">
      <alignment horizontal="center" vertical="center" wrapText="1"/>
    </xf>
    <xf numFmtId="0" fontId="23" fillId="39" borderId="22" xfId="0" applyFont="1" applyFill="1" applyBorder="1" applyNumberFormat="1">
      <alignment horizontal="right" vertical="center" wrapText="1" indent="1"/>
    </xf>
    <xf numFmtId="0" fontId="27" fillId="38" borderId="23" xfId="0" applyFont="1" applyFill="1" applyBorder="1" applyNumberFormat="1">
      <alignment horizontal="left" vertical="center" wrapText="1" indent="1"/>
      <protection locked="0"/>
    </xf>
    <xf numFmtId="0" fontId="40" fillId="39" borderId="0" xfId="0" applyFont="1" applyFill="1" applyNumberFormat="1">
      <alignment horizontal="right" vertical="center" wrapText="1" indent="1"/>
    </xf>
    <xf numFmtId="0" fontId="40" fillId="39" borderId="0" xfId="0" applyFont="1" applyFill="1" applyNumberFormat="1">
      <alignment horizontal="left" vertical="center" wrapText="1" indent="1"/>
    </xf>
    <xf numFmtId="0" fontId="27" fillId="40" borderId="23" xfId="0" applyFont="1" applyFill="1" applyBorder="1" applyNumberFormat="1">
      <alignment horizontal="left" vertical="center" wrapText="1" indent="1"/>
    </xf>
    <xf numFmtId="0" fontId="27" fillId="38" borderId="23" xfId="0" applyFont="1" applyFill="1" applyBorder="1" applyNumberFormat="1">
      <alignment horizontal="left" vertical="center" wrapText="1" indent="1"/>
    </xf>
    <xf numFmtId="0" fontId="27" fillId="0" borderId="0" xfId="0" applyFont="1" applyNumberFormat="1">
      <alignment horizontal="left" vertical="center" wrapText="1" indent="4"/>
    </xf>
    <xf numFmtId="0" fontId="33" fillId="0" borderId="0" xfId="0" applyFont="1" applyNumberFormat="1">
      <alignment horizontal="left" vertical="center" wrapText="1"/>
    </xf>
    <xf numFmtId="0" fontId="28" fillId="0" borderId="0" xfId="0" applyFont="1" applyNumberFormat="1">
      <alignment horizontal="left" vertical="center" wrapText="1"/>
    </xf>
    <xf numFmtId="0" fontId="43" fillId="0" borderId="0" xfId="0" applyFont="1" applyNumberFormat="1">
      <alignment vertical="center" wrapText="1"/>
    </xf>
    <xf numFmtId="0" fontId="28" fillId="0" borderId="0" xfId="0" applyFont="1" applyNumberFormat="1">
      <alignment horizontal="center" vertical="center" wrapText="1"/>
    </xf>
    <xf numFmtId="0" fontId="44" fillId="0" borderId="0" xfId="0" applyFont="1" applyNumberFormat="1">
      <alignment horizontal="left" vertical="center" indent="1"/>
    </xf>
    <xf numFmtId="0" fontId="44" fillId="0" borderId="0" xfId="0" applyFont="1" applyNumberFormat="1">
      <alignment horizontal="center" vertical="center" wrapText="1"/>
    </xf>
    <xf numFmtId="0" fontId="44" fillId="0" borderId="0" xfId="0" applyFont="1" applyNumberFormat="1">
      <alignment horizontal="left" vertical="center" wrapText="1" indent="1"/>
    </xf>
    <xf numFmtId="0" fontId="44" fillId="0" borderId="0" xfId="0" applyFont="1" applyNumberFormat="1">
      <alignment vertical="center" wrapText="1"/>
    </xf>
    <xf numFmtId="0" fontId="45" fillId="0" borderId="0" xfId="0" applyFont="1" applyNumberFormat="1">
      <alignment vertical="center" wrapText="1"/>
    </xf>
    <xf numFmtId="0" fontId="46" fillId="0" borderId="0" xfId="0" applyFont="1" applyNumberFormat="1">
      <alignment vertical="center" wrapText="1"/>
    </xf>
    <xf numFmtId="0" fontId="27" fillId="0" borderId="25" xfId="0" applyFont="1" applyBorder="1" applyNumberFormat="1">
      <alignment horizontal="left" vertical="center" wrapText="1" indent="1"/>
    </xf>
    <xf numFmtId="0" fontId="27" fillId="0" borderId="25" xfId="0" applyFont="1" applyBorder="1" applyNumberFormat="1">
      <alignment horizontal="center" vertical="center" wrapText="1"/>
    </xf>
    <xf numFmtId="0" fontId="44" fillId="0" borderId="28" xfId="0" applyFont="1" applyBorder="1" applyNumberFormat="1">
      <alignment vertical="center"/>
    </xf>
    <xf numFmtId="0" fontId="44" fillId="0" borderId="0" xfId="0" applyFont="1" applyNumberFormat="1">
      <alignment vertical="center"/>
    </xf>
    <xf numFmtId="0" fontId="27" fillId="0" borderId="23" xfId="0" applyFont="1" applyBorder="1" applyNumberFormat="1">
      <alignment horizontal="center" vertical="center" wrapText="1"/>
    </xf>
    <xf numFmtId="0" fontId="44" fillId="0" borderId="23" xfId="0" applyFont="1" applyBorder="1" applyNumberFormat="1">
      <alignment horizontal="center" vertical="center" wrapText="1"/>
    </xf>
    <xf numFmtId="0" fontId="47" fillId="0" borderId="29" xfId="0" applyFont="1" applyBorder="1" applyNumberFormat="1">
      <alignment vertical="top" wrapText="1"/>
    </xf>
    <xf numFmtId="0" fontId="27" fillId="0" borderId="30" xfId="0" applyFont="1" applyBorder="1" applyNumberFormat="1">
      <alignment horizontal="center" vertical="center" wrapText="1"/>
    </xf>
    <xf numFmtId="0" fontId="44" fillId="0" borderId="30" xfId="0" applyFont="1" applyBorder="1" applyNumberFormat="1">
      <alignment horizontal="center" vertical="center" wrapText="1"/>
    </xf>
    <xf numFmtId="0" fontId="27" fillId="0" borderId="31" xfId="0" applyFont="1" applyBorder="1" applyNumberFormat="1">
      <alignment vertical="center" wrapText="1"/>
    </xf>
    <xf numFmtId="0" fontId="49" fillId="0" borderId="0" xfId="0" applyFont="1" applyNumberFormat="1">
      <alignment vertical="center" wrapText="1"/>
    </xf>
    <xf numFmtId="0" fontId="50" fillId="0" borderId="0" xfId="0" applyFont="1" applyNumberFormat="1">
      <alignment horizontal="center" vertical="center" wrapText="1"/>
    </xf>
    <xf numFmtId="0" fontId="51" fillId="0" borderId="0" xfId="0" applyFont="1" applyNumberFormat="1">
      <alignment vertical="center"/>
    </xf>
    <xf numFmtId="0" fontId="23" fillId="0" borderId="0" xfId="0" applyFont="1" applyNumberFormat="1">
      <alignment vertical="center"/>
    </xf>
    <xf numFmtId="0" fontId="27" fillId="0" borderId="27" xfId="0" applyFont="1" applyBorder="1" applyNumberFormat="1">
      <alignment horizontal="left" vertical="center" wrapText="1" indent="1"/>
    </xf>
    <xf numFmtId="0" fontId="27" fillId="0" borderId="32" xfId="0" applyFont="1" applyBorder="1" applyNumberFormat="1">
      <alignment horizontal="left" vertical="center" wrapText="1" indent="1"/>
    </xf>
    <xf numFmtId="0" fontId="27" fillId="0" borderId="33" xfId="0" applyFont="1" applyBorder="1" applyNumberFormat="1">
      <alignment horizontal="left" vertical="center" wrapText="1" indent="1"/>
    </xf>
    <xf numFmtId="0" fontId="27" fillId="0" borderId="34" xfId="0" applyFont="1" applyBorder="1" applyNumberFormat="1">
      <alignment horizontal="left" vertical="center" indent="1"/>
    </xf>
    <xf numFmtId="0" fontId="27" fillId="0" borderId="30" xfId="0" applyFont="1" applyBorder="1" applyNumberFormat="1">
      <alignment horizontal="left" vertical="center" indent="1"/>
    </xf>
    <xf numFmtId="0" fontId="27" fillId="0" borderId="35" xfId="0" applyFont="1" applyBorder="1" applyNumberFormat="1">
      <alignment horizontal="left" vertical="center" indent="1"/>
    </xf>
    <xf numFmtId="0" fontId="52" fillId="0" borderId="0" xfId="0" applyFont="1" applyNumberFormat="1">
      <alignment vertical="center"/>
    </xf>
    <xf numFmtId="0" fontId="23" fillId="0" borderId="0" xfId="0" applyFont="1" applyNumberFormat="1">
      <alignment horizontal="left" vertical="center" wrapText="1" indent="2"/>
    </xf>
    <xf numFmtId="0" fontId="27" fillId="42" borderId="0" xfId="0" applyFont="1" applyFill="1" applyNumberFormat="1">
      <alignment horizontal="center" vertical="center" wrapText="1"/>
    </xf>
    <xf numFmtId="0" fontId="53" fillId="0" borderId="33" xfId="0" applyFont="1" applyBorder="1" applyNumberFormat="1">
      <alignment horizontal="center" vertical="center" wrapText="1"/>
    </xf>
    <xf numFmtId="0" fontId="53" fillId="0" borderId="26" xfId="0" applyFont="1" applyBorder="1" applyNumberFormat="1">
      <alignment horizontal="center" vertical="center" wrapText="1"/>
    </xf>
    <xf numFmtId="0" fontId="53" fillId="0" borderId="23" xfId="0" applyFont="1" applyBorder="1" applyNumberFormat="1">
      <alignment horizontal="center" vertical="center" wrapText="1"/>
    </xf>
    <xf numFmtId="0" fontId="27" fillId="0" borderId="36" xfId="0" applyFont="1" applyBorder="1" applyNumberFormat="1">
      <alignment horizontal="center" vertical="center" wrapText="1"/>
    </xf>
    <xf numFmtId="0" fontId="27" fillId="0" borderId="37" xfId="0" applyFont="1" applyBorder="1" applyNumberFormat="1">
      <alignment horizontal="center" vertical="center" wrapText="1"/>
    </xf>
    <xf numFmtId="0" fontId="37" fillId="0" borderId="28" xfId="0" applyFont="1" applyBorder="1" applyNumberFormat="1">
      <alignment vertical="center"/>
    </xf>
    <xf numFmtId="0" fontId="27" fillId="41" borderId="21" xfId="0" applyFont="1" applyFill="1" applyBorder="1" applyNumberFormat="1">
      <alignment horizontal="center" vertical="center" wrapText="1"/>
    </xf>
    <xf numFmtId="0" fontId="23" fillId="41" borderId="20" xfId="0" applyFont="1" applyFill="1" applyBorder="1" applyNumberFormat="1">
      <alignment vertical="center"/>
    </xf>
    <xf numFmtId="0" fontId="27" fillId="40" borderId="32" xfId="0" applyFont="1" applyFill="1" applyBorder="1" applyNumberFormat="1">
      <alignment horizontal="left" vertical="center" wrapText="1" indent="2"/>
    </xf>
    <xf numFmtId="0" fontId="27" fillId="0" borderId="41" xfId="0" applyFont="1" applyBorder="1" applyNumberFormat="1">
      <alignment horizontal="center" vertical="center" wrapText="1"/>
    </xf>
    <xf numFmtId="0" fontId="27" fillId="40" borderId="32" xfId="0" applyFont="1" applyFill="1" applyBorder="1" applyNumberFormat="1">
      <alignment horizontal="left" vertical="center" wrapText="1" indent="1"/>
    </xf>
    <xf numFmtId="0" fontId="27" fillId="0" borderId="0" xfId="0" applyFont="1" applyNumberFormat="1">
      <alignment vertical="center"/>
    </xf>
    <xf numFmtId="0" fontId="37" fillId="0" borderId="0" xfId="0" applyFont="1" applyNumberFormat="1">
      <alignment vertical="center"/>
    </xf>
    <xf numFmtId="0" fontId="47" fillId="0" borderId="23" xfId="0" applyFont="1" applyBorder="1" applyNumberFormat="1">
      <alignment horizontal="center" vertical="center" wrapText="1"/>
    </xf>
    <xf numFmtId="0" fontId="27" fillId="40" borderId="42" xfId="0" applyFont="1" applyFill="1" applyBorder="1" applyNumberFormat="1">
      <alignment horizontal="left" vertical="center" wrapText="1" indent="2"/>
    </xf>
    <xf numFmtId="0" fontId="27" fillId="40" borderId="30" xfId="0" applyFont="1" applyFill="1" applyBorder="1" applyNumberFormat="1">
      <alignment horizontal="left" vertical="center" wrapText="1" indent="1"/>
    </xf>
    <xf numFmtId="0" fontId="27" fillId="40" borderId="30" xfId="0" applyFont="1" applyFill="1" applyBorder="1" applyNumberFormat="1">
      <alignment horizontal="left" vertical="center" wrapText="1" indent="2"/>
    </xf>
    <xf numFmtId="0" fontId="53" fillId="42" borderId="0" xfId="0" applyFont="1" applyFill="1" applyNumberFormat="1">
      <alignment vertical="top"/>
    </xf>
    <xf numFmtId="0" fontId="27" fillId="0" borderId="27" xfId="0" applyFont="1" applyBorder="1" applyNumberFormat="1">
      <alignment horizontal="left" vertical="top" wrapText="1" indent="1"/>
    </xf>
    <xf numFmtId="0" fontId="27" fillId="0" borderId="32" xfId="0" applyFont="1" applyBorder="1" applyNumberFormat="1">
      <alignment horizontal="left" vertical="top" wrapText="1" indent="1"/>
    </xf>
    <xf numFmtId="0" fontId="27" fillId="0" borderId="33" xfId="0" applyFont="1" applyBorder="1" applyNumberFormat="1">
      <alignment horizontal="left" vertical="top" wrapText="1" indent="1"/>
    </xf>
    <xf numFmtId="0" fontId="27" fillId="0" borderId="45" xfId="0" applyFont="1" applyBorder="1" applyNumberFormat="1">
      <alignment horizontal="left" vertical="center" indent="1"/>
    </xf>
    <xf numFmtId="0" fontId="55" fillId="0" borderId="29" xfId="0" applyFont="1" applyBorder="1" applyNumberFormat="1">
      <alignment horizontal="left" vertical="center" wrapText="1" indent="1"/>
    </xf>
    <xf numFmtId="0" fontId="55" fillId="0" borderId="42" xfId="0" applyFont="1" applyBorder="1" applyNumberFormat="1">
      <alignment horizontal="left" vertical="center" wrapText="1" indent="1"/>
    </xf>
    <xf numFmtId="0" fontId="55" fillId="0" borderId="28" xfId="0" applyFont="1" applyBorder="1" applyNumberFormat="1">
      <alignment horizontal="left" vertical="center" wrapText="1" indent="1"/>
    </xf>
    <xf numFmtId="0" fontId="56" fillId="0" borderId="0" xfId="0" applyFont="1" applyNumberFormat="1">
      <alignment vertical="center"/>
    </xf>
    <xf numFmtId="0" fontId="23" fillId="0" borderId="23" xfId="0" applyFont="1" applyBorder="1" applyNumberFormat="1">
      <alignment horizontal="center" vertical="center" wrapText="1"/>
    </xf>
    <xf numFmtId="0" fontId="44" fillId="0" borderId="23" xfId="0" applyFont="1" applyBorder="1" applyNumberFormat="1">
      <alignment horizontal="center" vertical="center"/>
    </xf>
    <xf numFmtId="0" fontId="23" fillId="0" borderId="23" xfId="0" applyFont="1" applyBorder="1" applyNumberFormat="1">
      <alignment horizontal="center" vertical="center"/>
    </xf>
    <xf numFmtId="0" fontId="23" fillId="0" borderId="23" xfId="0" applyFont="1" applyBorder="1" applyNumberFormat="1">
      <alignment horizontal="center" vertical="top"/>
    </xf>
    <xf numFmtId="0" fontId="27" fillId="0" borderId="23" xfId="0" applyFont="1" applyBorder="1" applyNumberFormat="1">
      <alignment horizontal="left" vertical="top" wrapText="1"/>
    </xf>
    <xf numFmtId="0" fontId="27" fillId="40" borderId="32" xfId="0" applyFont="1" applyFill="1" applyBorder="1" applyNumberFormat="1">
      <alignment horizontal="center" vertical="top" wrapText="1"/>
    </xf>
    <xf numFmtId="0" fontId="23" fillId="0" borderId="33" xfId="0" applyFont="1" applyBorder="1" applyNumberFormat="1">
      <alignment horizontal="center" vertical="center"/>
    </xf>
    <xf numFmtId="0" fontId="23" fillId="0" borderId="26" xfId="0" applyFont="1" applyBorder="1" applyNumberFormat="1">
      <alignment horizontal="center" vertical="center"/>
    </xf>
    <xf numFmtId="0" fontId="23" fillId="0" borderId="26" xfId="0" applyFont="1" applyBorder="1" applyNumberFormat="1">
      <alignment horizontal="left" vertical="center" wrapText="1"/>
    </xf>
    <xf numFmtId="0" fontId="27" fillId="0" borderId="0" xfId="0" applyFont="1" applyNumberFormat="1">
      <alignment horizontal="left" vertical="center" indent="1"/>
    </xf>
    <xf numFmtId="0" fontId="27" fillId="40" borderId="42" xfId="0" applyFont="1" applyFill="1" applyBorder="1" applyNumberFormat="1">
      <alignment horizontal="center" vertical="top" wrapText="1"/>
    </xf>
    <xf numFmtId="0" fontId="23" fillId="0" borderId="28" xfId="0" applyFont="1" applyBorder="1" applyNumberFormat="1">
      <alignment horizontal="center" vertical="center"/>
    </xf>
    <xf numFmtId="0" fontId="48" fillId="0" borderId="29" xfId="0" applyFont="1" applyBorder="1" applyNumberFormat="1">
      <alignment horizontal="left" vertical="center"/>
    </xf>
    <xf numFmtId="0" fontId="27" fillId="40" borderId="30" xfId="0" applyFont="1" applyFill="1" applyBorder="1" applyNumberFormat="1">
      <alignment horizontal="center" vertical="top" wrapText="1"/>
    </xf>
    <xf numFmtId="0" fontId="48" fillId="0" borderId="35" xfId="0" applyFont="1" applyBorder="1" applyNumberFormat="1">
      <alignment horizontal="left" vertical="center"/>
    </xf>
    <xf numFmtId="0" fontId="48" fillId="0" borderId="45" xfId="0" applyFont="1" applyBorder="1" applyNumberFormat="1">
      <alignment horizontal="left" vertical="center"/>
    </xf>
    <xf numFmtId="0" fontId="23" fillId="0" borderId="45" xfId="0" applyFont="1" applyBorder="1" applyNumberFormat="1">
      <alignment vertical="center"/>
    </xf>
    <xf numFmtId="0" fontId="48" fillId="0" borderId="34" xfId="0" applyFont="1" applyBorder="1" applyNumberFormat="1">
      <alignment horizontal="left" vertical="center"/>
    </xf>
    <xf numFmtId="0" fontId="27" fillId="38" borderId="23" xfId="0" applyFont="1" applyFill="1" applyBorder="1" applyNumberFormat="1">
      <alignment horizontal="left" vertical="top" wrapText="1"/>
      <protection locked="0"/>
    </xf>
    <xf numFmtId="0" fontId="23" fillId="38" borderId="23" xfId="0" applyFont="1" applyFill="1" applyBorder="1" applyNumberFormat="1">
      <alignment horizontal="left" vertical="top"/>
      <protection locked="0"/>
    </xf>
    <xf numFmtId="0" fontId="23" fillId="0" borderId="32" xfId="0" applyFont="1" applyBorder="1" applyNumberFormat="1">
      <alignment horizontal="center" vertical="top"/>
    </xf>
    <xf numFmtId="0" fontId="27" fillId="0" borderId="32" xfId="0" applyFont="1" applyBorder="1" applyNumberFormat="1">
      <alignment horizontal="left" vertical="top" wrapText="1"/>
    </xf>
    <xf numFmtId="0" fontId="23" fillId="0" borderId="42" xfId="0" applyFont="1" applyBorder="1" applyNumberFormat="1">
      <alignment horizontal="center" vertical="top"/>
    </xf>
    <xf numFmtId="0" fontId="27" fillId="0" borderId="42" xfId="0" applyFont="1" applyBorder="1" applyNumberFormat="1">
      <alignment horizontal="left" vertical="top" wrapText="1"/>
    </xf>
    <xf numFmtId="0" fontId="23" fillId="0" borderId="30" xfId="0" applyFont="1" applyBorder="1" applyNumberFormat="1">
      <alignment horizontal="center" vertical="top"/>
    </xf>
    <xf numFmtId="0" fontId="27" fillId="0" borderId="30" xfId="0" applyFont="1" applyBorder="1" applyNumberFormat="1">
      <alignment horizontal="left" vertical="top" wrapText="1"/>
    </xf>
    <xf numFmtId="0" fontId="23" fillId="0" borderId="0" xfId="0" applyFont="1" applyNumberFormat="1">
      <alignment horizontal="left" vertical="top" wrapText="1"/>
    </xf>
    <xf numFmtId="0" fontId="23" fillId="0" borderId="0" xfId="0" applyFont="1" applyNumberFormat="1" quotePrefix="1">
      <alignment horizontal="left" vertical="top" wrapText="1" indent="1"/>
    </xf>
    <xf numFmtId="0" fontId="27" fillId="0" borderId="26" xfId="0" applyFont="1" applyBorder="1" applyNumberFormat="1">
      <alignment horizontal="left" vertical="center" wrapText="1" indent="1"/>
    </xf>
    <xf numFmtId="0" fontId="27" fillId="0" borderId="45" xfId="0" applyFont="1" applyBorder="1" applyNumberFormat="1">
      <alignment horizontal="left" vertical="center" wrapText="1" indent="1"/>
    </xf>
    <xf numFmtId="0" fontId="27" fillId="0" borderId="33" xfId="0" applyFont="1" applyBorder="1" applyNumberFormat="1">
      <alignment horizontal="center" vertical="center" wrapText="1"/>
    </xf>
    <xf numFmtId="0" fontId="27" fillId="0" borderId="27" xfId="0" applyFont="1" applyBorder="1" applyNumberFormat="1">
      <alignment horizontal="center" vertical="center" wrapText="1"/>
    </xf>
    <xf numFmtId="0" fontId="27" fillId="0" borderId="42" xfId="0" applyFont="1" applyBorder="1" applyNumberFormat="1">
      <alignment horizontal="center" vertical="center" wrapText="1"/>
    </xf>
    <xf numFmtId="0" fontId="27" fillId="0" borderId="32" xfId="0" applyFont="1" applyBorder="1" applyNumberFormat="1">
      <alignment horizontal="center" vertical="center" wrapText="1"/>
    </xf>
    <xf numFmtId="0" fontId="27" fillId="0" borderId="28" xfId="0" applyFont="1" applyBorder="1" applyNumberFormat="1">
      <alignment horizontal="center" vertical="center" wrapText="1"/>
    </xf>
    <xf numFmtId="0" fontId="27" fillId="0" borderId="29" xfId="0" applyFont="1" applyBorder="1" applyNumberFormat="1">
      <alignment horizontal="center" vertical="center" wrapText="1"/>
    </xf>
    <xf numFmtId="0" fontId="27" fillId="0" borderId="35" xfId="0" applyFont="1" applyBorder="1" applyNumberFormat="1">
      <alignment horizontal="center" vertical="center" wrapText="1"/>
    </xf>
    <xf numFmtId="0" fontId="27" fillId="0" borderId="34" xfId="0" applyFont="1" applyBorder="1" applyNumberFormat="1">
      <alignment horizontal="center" vertical="center" wrapText="1"/>
    </xf>
    <xf numFmtId="0" fontId="27" fillId="0" borderId="23" xfId="0" applyFont="1" applyBorder="1" applyNumberFormat="1">
      <alignment horizontal="left" vertical="center" wrapText="1"/>
    </xf>
    <xf numFmtId="0" fontId="27" fillId="0" borderId="26" xfId="0" applyFont="1" applyBorder="1" applyNumberFormat="1">
      <alignment horizontal="center" vertical="center"/>
    </xf>
    <xf numFmtId="0" fontId="27" fillId="0" borderId="26" xfId="0" applyFont="1" applyBorder="1" applyNumberFormat="1">
      <alignment horizontal="left" vertical="center" wrapText="1"/>
    </xf>
    <xf numFmtId="0" fontId="48" fillId="0" borderId="28" xfId="0" applyFont="1" applyBorder="1" applyNumberFormat="1">
      <alignment horizontal="left" vertical="center"/>
    </xf>
    <xf numFmtId="0" fontId="27" fillId="0" borderId="32" xfId="0" applyFont="1" applyBorder="1" applyNumberFormat="1">
      <alignment horizontal="left" vertical="center" wrapText="1"/>
    </xf>
    <xf numFmtId="0" fontId="27" fillId="0" borderId="33" xfId="0" applyFont="1" applyBorder="1" applyNumberFormat="1">
      <alignment horizontal="left" vertical="center" wrapText="1"/>
    </xf>
    <xf numFmtId="0" fontId="27" fillId="0" borderId="21" xfId="0" applyFont="1" applyBorder="1" applyNumberFormat="1">
      <alignment horizontal="left" vertical="center" wrapText="1"/>
    </xf>
    <xf numFmtId="0" fontId="27" fillId="39" borderId="0" xfId="0" applyFont="1" applyFill="1" applyNumberFormat="1"/>
    <xf numFmtId="0" fontId="23" fillId="39" borderId="0" xfId="0" applyFont="1" applyFill="1" applyNumberFormat="1"/>
    <xf numFmtId="0" fontId="44" fillId="39" borderId="0" xfId="0" applyFont="1" applyFill="1" applyNumberFormat="1"/>
    <xf numFmtId="0" fontId="40" fillId="39" borderId="0" xfId="0" applyFont="1" applyFill="1" applyNumberFormat="1">
      <alignment horizontal="center"/>
    </xf>
    <xf numFmtId="0" fontId="40" fillId="39" borderId="0" xfId="0" applyFont="1" applyFill="1" applyNumberFormat="1"/>
    <xf numFmtId="0" fontId="57" fillId="39" borderId="0" xfId="0" applyFont="1" applyFill="1" applyNumberFormat="1">
      <alignment horizontal="right" vertical="center"/>
    </xf>
    <xf numFmtId="0" fontId="44" fillId="39" borderId="0" xfId="0" applyFont="1" applyFill="1" applyNumberFormat="1">
      <alignment vertical="center" wrapText="1"/>
    </xf>
    <xf numFmtId="0" fontId="35" fillId="39" borderId="0" xfId="0" applyFont="1" applyFill="1" applyNumberFormat="1">
      <alignment horizontal="left" vertical="center" wrapText="1"/>
    </xf>
    <xf numFmtId="0" fontId="23" fillId="39" borderId="23" xfId="0" applyFont="1" applyFill="1" applyBorder="1" applyNumberFormat="1">
      <alignment horizontal="center" vertical="center" wrapText="1"/>
    </xf>
    <xf numFmtId="0" fontId="27" fillId="39" borderId="23" xfId="0" applyFont="1" applyFill="1" applyBorder="1" applyNumberFormat="1">
      <alignment horizontal="center" vertical="center" wrapText="1"/>
    </xf>
    <xf numFmtId="0" fontId="47" fillId="39" borderId="0" xfId="0" applyFont="1" applyFill="1" applyNumberFormat="1">
      <alignment horizontal="center" vertical="center"/>
    </xf>
    <xf numFmtId="0" fontId="44" fillId="0" borderId="23" xfId="0" applyFont="1" applyBorder="1" applyNumberFormat="1">
      <alignment vertical="center" wrapText="1"/>
    </xf>
    <xf numFmtId="0" fontId="44" fillId="0" borderId="23" xfId="0" applyFont="1" applyBorder="1" applyNumberFormat="1">
      <alignment horizontal="left" vertical="center" wrapText="1"/>
    </xf>
    <xf numFmtId="0" fontId="58" fillId="39" borderId="0" xfId="0" applyFont="1" applyFill="1" applyNumberFormat="1"/>
    <xf numFmtId="0" fontId="23" fillId="39" borderId="23" xfId="0" applyFont="1" applyFill="1" applyBorder="1" applyNumberFormat="1">
      <alignment vertical="center" wrapText="1"/>
    </xf>
    <xf numFmtId="0" fontId="27" fillId="39" borderId="23" xfId="0" applyFont="1" applyFill="1" applyBorder="1" applyNumberFormat="1">
      <alignment vertical="center" wrapText="1"/>
    </xf>
    <xf numFmtId="0" fontId="23" fillId="39" borderId="23" xfId="0" applyFont="1" applyFill="1" applyBorder="1" applyNumberFormat="1">
      <alignment horizontal="left" vertical="center" wrapText="1" indent="1"/>
    </xf>
    <xf numFmtId="0" fontId="44" fillId="0" borderId="23" xfId="0" applyFont="1" applyBorder="1" applyNumberFormat="1">
      <alignment horizontal="left" vertical="center" wrapText="1" indent="1"/>
    </xf>
    <xf numFmtId="0" fontId="27" fillId="39" borderId="29" xfId="0" applyFont="1" applyFill="1" applyBorder="1" applyNumberFormat="1">
      <alignment horizontal="center" vertical="center" wrapText="1"/>
    </xf>
    <xf numFmtId="0" fontId="23" fillId="39" borderId="23" xfId="0" applyFont="1" applyFill="1" applyBorder="1" applyNumberFormat="1">
      <alignment horizontal="center" vertical="center"/>
    </xf>
    <xf numFmtId="0" fontId="23" fillId="39" borderId="23" xfId="0" applyFont="1" applyFill="1" applyBorder="1" applyNumberFormat="1">
      <alignment horizontal="left" vertical="center" wrapText="1" indent="2"/>
    </xf>
    <xf numFmtId="0" fontId="27" fillId="39" borderId="29" xfId="0" applyFont="1" applyFill="1" applyBorder="1" applyNumberFormat="1">
      <alignment vertical="center" wrapText="1"/>
    </xf>
    <xf numFmtId="0" fontId="27" fillId="41" borderId="21" xfId="0" applyFont="1" applyFill="1" applyBorder="1" applyNumberFormat="1">
      <alignment horizontal="center"/>
    </xf>
    <xf numFmtId="0" fontId="57" fillId="41" borderId="25" xfId="0" applyFont="1" applyFill="1" applyBorder="1" applyNumberFormat="1">
      <alignment horizontal="left" vertical="center"/>
    </xf>
    <xf numFmtId="0" fontId="57" fillId="41" borderId="20" xfId="0" applyFont="1" applyFill="1" applyBorder="1" applyNumberFormat="1">
      <alignment horizontal="left" vertical="center"/>
    </xf>
    <xf numFmtId="0" fontId="44" fillId="39" borderId="23" xfId="0" applyFont="1" applyFill="1" applyBorder="1" applyNumberFormat="1">
      <alignment vertical="center" wrapText="1"/>
    </xf>
    <xf numFmtId="0" fontId="44" fillId="39" borderId="23" xfId="0" applyFont="1" applyFill="1" applyBorder="1" applyNumberFormat="1">
      <alignment horizontal="left" vertical="center" wrapText="1" indent="1"/>
    </xf>
    <xf numFmtId="0" fontId="44" fillId="39" borderId="23" xfId="0" applyFont="1" applyFill="1" applyBorder="1" applyNumberFormat="1">
      <alignment horizontal="left" vertical="center" wrapText="1" indent="2"/>
    </xf>
    <xf numFmtId="0" fontId="23" fillId="39" borderId="23" xfId="0" applyFont="1" applyFill="1" applyBorder="1" applyNumberFormat="1">
      <alignment horizontal="left" vertical="center" wrapText="1"/>
    </xf>
    <xf numFmtId="0" fontId="23" fillId="39" borderId="32" xfId="0" applyFont="1" applyFill="1" applyBorder="1" applyNumberFormat="1">
      <alignment horizontal="left" vertical="center" wrapText="1"/>
    </xf>
    <xf numFmtId="0" fontId="27" fillId="39" borderId="32" xfId="0" applyFont="1" applyFill="1" applyBorder="1" applyNumberFormat="1">
      <alignment horizontal="left" vertical="top" wrapText="1"/>
    </xf>
    <xf numFmtId="0" fontId="27" fillId="39" borderId="42" xfId="0" applyFont="1" applyFill="1" applyBorder="1" applyNumberFormat="1">
      <alignment horizontal="left" vertical="top" wrapText="1"/>
    </xf>
    <xf numFmtId="0" fontId="50" fillId="39" borderId="0" xfId="0" applyFont="1" applyFill="1" applyNumberFormat="1">
      <alignment horizontal="center" vertical="center" wrapText="1"/>
    </xf>
    <xf numFmtId="0" fontId="27" fillId="39" borderId="30" xfId="0" applyFont="1" applyFill="1" applyBorder="1" applyNumberFormat="1">
      <alignment horizontal="left" vertical="top" wrapText="1"/>
    </xf>
    <xf numFmtId="0" fontId="59" fillId="39" borderId="0" xfId="0" applyFont="1" applyFill="1" applyNumberFormat="1"/>
    <xf numFmtId="0" fontId="23" fillId="39" borderId="21" xfId="0" applyFont="1" applyFill="1" applyBorder="1" applyNumberFormat="1">
      <alignment horizontal="left" vertical="center" wrapText="1" indent="1"/>
    </xf>
    <xf numFmtId="0" fontId="23" fillId="39" borderId="23" xfId="0" applyFont="1" applyFill="1" applyBorder="1" applyNumberFormat="1">
      <alignment vertical="top" wrapText="1"/>
    </xf>
    <xf numFmtId="0" fontId="23" fillId="39" borderId="21" xfId="0" applyFont="1" applyFill="1" applyBorder="1" applyNumberFormat="1">
      <alignment horizontal="left" vertical="center" wrapText="1"/>
    </xf>
    <xf numFmtId="0" fontId="23" fillId="39" borderId="30" xfId="0" applyFont="1" applyFill="1" applyBorder="1" applyNumberFormat="1">
      <alignment vertical="center" wrapText="1"/>
    </xf>
    <xf numFmtId="0" fontId="49" fillId="0" borderId="0" xfId="0" applyFont="1" applyNumberFormat="1">
      <alignment horizontal="left" vertical="top" wrapText="1" indent="1"/>
    </xf>
    <xf numFmtId="0" fontId="60" fillId="39" borderId="0" xfId="0" applyFont="1" applyFill="1" applyNumberFormat="1"/>
    <xf numFmtId="0" fontId="53" fillId="39" borderId="0" xfId="0" applyFont="1" applyFill="1" applyNumberFormat="1">
      <alignment horizontal="center"/>
    </xf>
    <xf numFmtId="0" fontId="53" fillId="39" borderId="0" xfId="0" applyFont="1" applyFill="1" applyNumberFormat="1"/>
    <xf numFmtId="0" fontId="61" fillId="39" borderId="0" xfId="0" applyFont="1" applyFill="1" applyNumberFormat="1">
      <alignment horizontal="right" vertical="center"/>
    </xf>
    <xf numFmtId="0" fontId="62" fillId="39" borderId="0" xfId="0" applyFont="1" applyFill="1" applyNumberFormat="1">
      <alignment vertical="center"/>
    </xf>
    <xf numFmtId="0" fontId="61" fillId="39" borderId="0" xfId="0" applyFont="1" applyFill="1" applyNumberFormat="1">
      <alignment horizontal="right" vertical="top"/>
    </xf>
    <xf numFmtId="0" fontId="62" fillId="39" borderId="0" xfId="0" applyFont="1" applyFill="1" applyNumberFormat="1">
      <alignment vertical="center" wrapText="1"/>
    </xf>
    <xf numFmtId="0" fontId="23" fillId="39" borderId="0" xfId="0" applyFont="1" applyFill="1" applyNumberFormat="1">
      <alignment horizontal="center"/>
    </xf>
    <xf numFmtId="0" fontId="37" fillId="0" borderId="0" xfId="0" applyFont="1" applyNumberFormat="1">
      <alignment horizontal="center" vertical="center" wrapText="1"/>
    </xf>
    <xf numFmtId="0" fontId="63" fillId="39" borderId="0" xfId="0" applyFont="1" applyFill="1" applyNumberFormat="1">
      <alignment horizontal="center" vertical="center" wrapText="1"/>
    </xf>
    <xf numFmtId="0" fontId="63" fillId="39" borderId="0" xfId="0" applyFont="1" applyFill="1" applyNumberFormat="1">
      <alignment horizontal="right" vertical="center" wrapText="1"/>
    </xf>
    <xf numFmtId="0" fontId="63" fillId="0" borderId="0" xfId="0" applyFont="1" applyNumberFormat="1">
      <alignment vertical="center" wrapText="1"/>
    </xf>
    <xf numFmtId="0" fontId="27" fillId="0" borderId="34" xfId="0" applyFont="1" applyBorder="1" applyNumberFormat="1">
      <alignment horizontal="left" vertical="center" wrapText="1" indent="1"/>
    </xf>
    <xf numFmtId="0" fontId="27" fillId="0" borderId="30" xfId="0" applyFont="1" applyBorder="1" applyNumberFormat="1">
      <alignment horizontal="left" vertical="center" wrapText="1" indent="1"/>
    </xf>
    <xf numFmtId="0" fontId="27" fillId="0" borderId="35" xfId="0" applyFont="1" applyBorder="1" applyNumberFormat="1">
      <alignment horizontal="left" vertical="center" wrapText="1" indent="1"/>
    </xf>
    <xf numFmtId="0" fontId="64" fillId="39" borderId="0" xfId="0" applyFont="1" applyFill="1" applyNumberFormat="1">
      <alignment horizontal="center" vertical="center" wrapText="1"/>
    </xf>
    <xf numFmtId="0" fontId="23" fillId="0" borderId="21"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3"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5" xfId="0" applyFont="1" applyBorder="1" applyNumberFormat="1">
      <alignment horizontal="center" vertical="center" wrapText="1"/>
    </xf>
    <xf numFmtId="0" fontId="23" fillId="0" borderId="34" xfId="0" applyFont="1" applyBorder="1" applyNumberFormat="1">
      <alignment horizontal="center" vertical="center" wrapText="1"/>
    </xf>
    <xf numFmtId="0" fontId="47" fillId="39" borderId="0" xfId="0" applyFont="1" applyFill="1" applyNumberFormat="1">
      <alignment horizontal="center" vertical="center" wrapText="1"/>
    </xf>
    <xf numFmtId="0" fontId="65" fillId="39" borderId="0" xfId="0" applyFont="1" applyFill="1" applyNumberFormat="1">
      <alignment horizontal="center" vertical="center" wrapText="1"/>
    </xf>
    <xf numFmtId="0" fontId="55" fillId="0" borderId="0" xfId="0" applyFont="1" applyNumberFormat="1">
      <alignment vertical="center" wrapText="1"/>
    </xf>
    <xf numFmtId="0" fontId="27" fillId="40" borderId="21" xfId="0" applyFont="1" applyFill="1" applyBorder="1" applyNumberFormat="1">
      <alignment horizontal="left" vertical="center" wrapText="1"/>
    </xf>
    <xf numFmtId="0" fontId="23" fillId="35" borderId="23" xfId="0" applyFont="1" applyFill="1" applyBorder="1" applyNumberFormat="1">
      <alignment horizontal="right" vertical="center" wrapText="1"/>
      <protection locked="0"/>
    </xf>
    <xf numFmtId="0" fontId="23" fillId="0" borderId="32" xfId="0" applyFont="1" applyBorder="1" applyNumberFormat="1">
      <alignment horizontal="left" vertical="top" wrapText="1"/>
    </xf>
    <xf numFmtId="0" fontId="48" fillId="41" borderId="25" xfId="0" applyFont="1" applyFill="1" applyBorder="1" applyNumberFormat="1">
      <alignment vertical="center"/>
    </xf>
    <xf numFmtId="0" fontId="23" fillId="0" borderId="30" xfId="0" applyFont="1" applyBorder="1" applyNumberFormat="1">
      <alignment horizontal="left" vertical="top" wrapText="1"/>
    </xf>
    <xf numFmtId="0" fontId="27" fillId="40" borderId="26" xfId="0" applyFont="1" applyFill="1" applyBorder="1" applyNumberFormat="1">
      <alignment horizontal="left" vertical="center" wrapText="1"/>
    </xf>
    <xf numFmtId="0" fontId="50" fillId="39" borderId="23" xfId="0" applyFont="1" applyFill="1" applyBorder="1" applyNumberFormat="1">
      <alignment horizontal="center" vertical="center" wrapText="1"/>
    </xf>
    <xf numFmtId="0" fontId="27" fillId="40" borderId="45" xfId="0" applyFont="1" applyFill="1" applyBorder="1" applyNumberFormat="1">
      <alignment horizontal="left" vertical="center" wrapText="1"/>
    </xf>
    <xf numFmtId="0" fontId="27" fillId="0" borderId="26" xfId="0" applyFont="1" applyBorder="1" applyNumberFormat="1">
      <alignment horizontal="left" vertical="top" wrapText="1" indent="1"/>
    </xf>
    <xf numFmtId="0" fontId="29" fillId="39" borderId="0" xfId="0" applyFont="1" applyFill="1" applyNumberFormat="1">
      <alignment horizontal="right" vertical="center"/>
    </xf>
    <xf numFmtId="0" fontId="29" fillId="39" borderId="0" xfId="0" applyFont="1" applyFill="1" applyNumberFormat="1">
      <alignment horizontal="right" vertical="center" wrapText="1"/>
    </xf>
    <xf numFmtId="0" fontId="50" fillId="39" borderId="29" xfId="0" applyFont="1" applyFill="1" applyBorder="1" applyNumberFormat="1">
      <alignment vertical="top" wrapText="1"/>
    </xf>
    <xf numFmtId="0" fontId="23" fillId="0" borderId="42" xfId="0" applyFont="1" applyBorder="1" applyNumberFormat="1">
      <alignment horizontal="left" vertical="top" wrapText="1"/>
    </xf>
    <xf numFmtId="0" fontId="50" fillId="39" borderId="0" xfId="0" applyFont="1" applyFill="1" applyNumberFormat="1">
      <alignment vertical="top" wrapText="1"/>
    </xf>
    <xf numFmtId="0" fontId="44" fillId="39" borderId="30" xfId="0" applyFont="1" applyFill="1" applyBorder="1" applyNumberFormat="1">
      <alignment horizontal="center" vertical="center" wrapText="1"/>
    </xf>
    <xf numFmtId="0" fontId="44" fillId="0" borderId="0" xfId="0" applyFont="1" applyNumberFormat="1">
      <alignment horizontal="left" vertical="center" wrapText="1"/>
    </xf>
    <xf numFmtId="0" fontId="49" fillId="0" borderId="0" xfId="0" applyFont="1" applyNumberFormat="1">
      <alignment vertical="top"/>
    </xf>
    <xf numFmtId="0" fontId="37" fillId="0" borderId="23" xfId="0" applyFont="1" applyBorder="1" applyNumberFormat="1">
      <alignment horizontal="center" vertical="center"/>
    </xf>
    <xf numFmtId="0" fontId="27" fillId="39" borderId="23" xfId="0" applyFont="1" applyFill="1" applyBorder="1" applyNumberFormat="1">
      <alignment horizontal="left" vertical="center" wrapText="1"/>
    </xf>
    <xf numFmtId="0" fontId="27" fillId="0" borderId="23" xfId="0" applyFont="1" applyBorder="1" applyNumberFormat="1">
      <alignment vertical="center" wrapText="1"/>
    </xf>
    <xf numFmtId="0" fontId="27" fillId="0" borderId="23" xfId="0" applyFont="1" applyBorder="1" applyNumberFormat="1">
      <alignment horizontal="left" vertical="center" wrapText="1" indent="6"/>
    </xf>
    <xf numFmtId="0" fontId="27" fillId="37" borderId="21" xfId="0" applyFont="1" applyFill="1" applyBorder="1" applyNumberFormat="1">
      <alignment horizontal="left" vertical="center" wrapText="1"/>
    </xf>
    <xf numFmtId="0" fontId="27" fillId="37" borderId="25" xfId="0" applyFont="1" applyFill="1" applyBorder="1" applyNumberFormat="1">
      <alignment horizontal="left" vertical="center" wrapText="1"/>
    </xf>
    <xf numFmtId="0" fontId="27" fillId="37" borderId="20" xfId="0" applyFont="1" applyFill="1" applyBorder="1" applyNumberFormat="1">
      <alignment horizontal="left" vertical="center" wrapText="1"/>
    </xf>
    <xf numFmtId="0" fontId="49" fillId="0" borderId="23" xfId="0" applyFont="1" applyBorder="1" applyNumberFormat="1">
      <alignment vertical="top" wrapText="1"/>
    </xf>
    <xf numFmtId="0" fontId="37" fillId="0" borderId="21" xfId="0" applyFont="1" applyBorder="1" applyNumberFormat="1">
      <alignment horizontal="center" vertical="center"/>
    </xf>
    <xf numFmtId="0" fontId="46" fillId="39" borderId="0" xfId="0" applyFont="1" applyFill="1" applyNumberFormat="1">
      <alignment horizontal="center" vertical="center" wrapText="1"/>
    </xf>
    <xf numFmtId="0" fontId="27" fillId="0" borderId="29" xfId="0" applyFont="1" applyBorder="1" applyNumberFormat="1">
      <alignment vertical="center" wrapText="1"/>
    </xf>
    <xf numFmtId="0" fontId="27" fillId="39" borderId="23" xfId="0" applyFont="1" applyFill="1" applyBorder="1" applyNumberFormat="1">
      <alignment horizontal="left" vertical="center" wrapText="1" indent="1"/>
    </xf>
    <xf numFmtId="0" fontId="27" fillId="39" borderId="23" xfId="0" applyFont="1" applyFill="1" applyBorder="1" applyNumberFormat="1">
      <alignment horizontal="left" vertical="center" wrapText="1" indent="2"/>
    </xf>
    <xf numFmtId="0" fontId="27" fillId="39" borderId="23" xfId="0" applyFont="1" applyFill="1" applyBorder="1" applyNumberFormat="1">
      <alignment horizontal="left" vertical="center" wrapText="1" indent="3"/>
    </xf>
    <xf numFmtId="0" fontId="37" fillId="0" borderId="23" xfId="0" applyFont="1" applyBorder="1" applyNumberFormat="1">
      <alignment horizontal="center" vertical="center" wrapText="1"/>
    </xf>
    <xf numFmtId="0" fontId="37" fillId="0" borderId="0" xfId="0" applyFont="1" applyNumberFormat="1">
      <alignment horizontal="center" vertical="center"/>
    </xf>
    <xf numFmtId="0" fontId="44" fillId="0" borderId="29" xfId="0" applyFont="1" applyBorder="1" applyNumberFormat="1">
      <alignment horizontal="center" vertical="center" wrapText="1"/>
    </xf>
    <xf numFmtId="0" fontId="27" fillId="39" borderId="23" xfId="0" applyFont="1" applyFill="1" applyBorder="1" applyNumberFormat="1">
      <alignment horizontal="left" vertical="center" wrapText="1" indent="4"/>
    </xf>
    <xf numFmtId="0" fontId="27" fillId="40" borderId="25" xfId="0" applyFont="1" applyFill="1" applyBorder="1" applyNumberFormat="1">
      <alignment horizontal="left" vertical="center" wrapText="1"/>
    </xf>
    <xf numFmtId="0" fontId="27" fillId="40" borderId="20" xfId="0" applyFont="1" applyFill="1" applyBorder="1" applyNumberFormat="1">
      <alignment horizontal="left" vertical="center" wrapText="1"/>
    </xf>
    <xf numFmtId="0" fontId="37" fillId="0" borderId="21" xfId="0" applyFont="1" applyBorder="1" applyNumberFormat="1">
      <alignment horizontal="center" vertical="center" wrapText="1"/>
    </xf>
    <xf numFmtId="0" fontId="44" fillId="0" borderId="29" xfId="0" applyFont="1" applyBorder="1" applyNumberFormat="1">
      <alignment vertical="center" wrapText="1"/>
    </xf>
    <xf numFmtId="0" fontId="27" fillId="39" borderId="23" xfId="0" applyFont="1" applyFill="1" applyBorder="1" applyNumberFormat="1">
      <alignment horizontal="left" vertical="center" wrapText="1" indent="5"/>
    </xf>
    <xf numFmtId="0" fontId="27" fillId="40" borderId="23" xfId="0" applyFont="1" applyFill="1" applyBorder="1" applyNumberFormat="1">
      <alignment horizontal="left" vertical="center" wrapText="1" indent="6"/>
    </xf>
    <xf numFmtId="0" fontId="49" fillId="0" borderId="32" xfId="0" applyFont="1" applyBorder="1" applyNumberFormat="1">
      <alignment horizontal="left" vertical="top" wrapText="1"/>
    </xf>
    <xf numFmtId="0" fontId="49" fillId="0" borderId="42" xfId="0" applyFont="1" applyBorder="1" applyNumberFormat="1">
      <alignment horizontal="left" vertical="top" wrapText="1"/>
    </xf>
    <xf numFmtId="0" fontId="49" fillId="0" borderId="30" xfId="0" applyFont="1" applyBorder="1" applyNumberFormat="1">
      <alignment horizontal="left" vertical="top" wrapText="1"/>
    </xf>
    <xf numFmtId="0" fontId="70" fillId="39" borderId="0" xfId="0" applyFont="1" applyFill="1" applyNumberFormat="1">
      <alignment vertical="center" wrapText="1"/>
    </xf>
    <xf numFmtId="0" fontId="27" fillId="39" borderId="0" xfId="0" applyFont="1" applyFill="1" applyNumberFormat="1">
      <alignment horizontal="left" vertical="center" wrapText="1"/>
    </xf>
    <xf numFmtId="0" fontId="31" fillId="39" borderId="0" xfId="0" applyFont="1" applyFill="1" applyNumberFormat="1">
      <alignment horizontal="center" vertical="center" wrapText="1"/>
    </xf>
    <xf numFmtId="0" fontId="23" fillId="39" borderId="23" xfId="0" applyFont="1" applyFill="1" applyBorder="1" applyNumberFormat="1">
      <alignment horizontal="right" vertical="center" wrapText="1" indent="1"/>
    </xf>
    <xf numFmtId="0" fontId="23" fillId="0" borderId="25" xfId="0" applyFont="1" applyBorder="1" applyNumberFormat="1">
      <alignment vertical="center"/>
    </xf>
    <xf numFmtId="0" fontId="27" fillId="37" borderId="23" xfId="0" applyFont="1" applyFill="1" applyBorder="1" applyNumberFormat="1">
      <alignment horizontal="left" vertical="center" wrapText="1" indent="1"/>
    </xf>
    <xf numFmtId="0" fontId="27" fillId="39" borderId="45" xfId="0" applyFont="1" applyFill="1" applyBorder="1" applyNumberFormat="1">
      <alignment vertical="center" wrapText="1"/>
    </xf>
    <xf numFmtId="0" fontId="50" fillId="0" borderId="45" xfId="0" applyFont="1" applyBorder="1" applyNumberFormat="1">
      <alignment horizontal="center" vertical="center" wrapText="1"/>
    </xf>
    <xf numFmtId="0" fontId="27" fillId="0" borderId="32" xfId="0" applyFont="1" applyBorder="1" applyNumberFormat="1">
      <alignment vertical="center" wrapText="1"/>
    </xf>
    <xf numFmtId="0" fontId="23" fillId="39" borderId="21" xfId="0" applyFont="1" applyFill="1" applyBorder="1" applyNumberFormat="1">
      <alignment horizontal="center" vertical="center" wrapText="1"/>
    </xf>
    <xf numFmtId="0" fontId="23" fillId="39" borderId="25" xfId="0" applyFont="1" applyFill="1" applyBorder="1" applyNumberFormat="1">
      <alignment horizontal="center" vertical="center" wrapText="1"/>
    </xf>
    <xf numFmtId="0" fontId="23" fillId="39" borderId="20" xfId="0" applyFont="1" applyFill="1" applyBorder="1" applyNumberFormat="1">
      <alignment horizontal="center" vertical="center" wrapText="1"/>
    </xf>
    <xf numFmtId="0" fontId="27" fillId="39" borderId="32" xfId="0" applyFont="1" applyFill="1" applyBorder="1" applyNumberFormat="1">
      <alignment horizontal="center" vertical="center" wrapText="1"/>
    </xf>
    <xf numFmtId="0" fontId="27" fillId="0" borderId="42" xfId="0" applyFont="1" applyBorder="1" applyNumberFormat="1">
      <alignment vertical="center" wrapText="1"/>
    </xf>
    <xf numFmtId="0" fontId="37" fillId="0" borderId="32" xfId="0" applyFont="1" applyBorder="1" applyNumberFormat="1">
      <alignment horizontal="center" vertical="center" wrapText="1"/>
    </xf>
    <xf numFmtId="0" fontId="27" fillId="39" borderId="42" xfId="0" applyFont="1" applyFill="1" applyBorder="1" applyNumberFormat="1">
      <alignment horizontal="center" vertical="center" wrapText="1"/>
    </xf>
    <xf numFmtId="0" fontId="27" fillId="0" borderId="30" xfId="0" applyFont="1" applyBorder="1" applyNumberFormat="1">
      <alignment vertical="center" wrapText="1"/>
    </xf>
    <xf numFmtId="0" fontId="37" fillId="0" borderId="30" xfId="0" applyFont="1" applyBorder="1" applyNumberFormat="1">
      <alignment horizontal="center" vertical="center" wrapText="1"/>
    </xf>
    <xf numFmtId="0" fontId="27" fillId="39" borderId="30" xfId="0" applyFont="1" applyFill="1" applyBorder="1" applyNumberFormat="1">
      <alignment horizontal="center" vertical="center" wrapText="1"/>
    </xf>
    <xf numFmtId="0" fontId="81" fillId="39" borderId="0" xfId="0" applyFont="1" applyFill="1" applyNumberFormat="1">
      <alignment vertical="center" wrapText="1"/>
    </xf>
    <xf numFmtId="0" fontId="82" fillId="39" borderId="0" xfId="0" applyFont="1" applyFill="1" applyNumberFormat="1">
      <alignment vertical="center" wrapText="1"/>
    </xf>
    <xf numFmtId="0" fontId="44" fillId="39" borderId="26" xfId="0" applyFont="1" applyFill="1" applyBorder="1" applyNumberFormat="1">
      <alignment horizontal="center" vertical="center" wrapText="1"/>
    </xf>
    <xf numFmtId="0" fontId="65" fillId="39" borderId="26" xfId="0" applyFont="1" applyFill="1" applyBorder="1" applyNumberFormat="1">
      <alignment horizontal="center" vertical="center" wrapText="1"/>
    </xf>
    <xf numFmtId="0" fontId="37" fillId="0" borderId="0" xfId="0" applyFont="1" applyNumberFormat="1">
      <alignment horizontal="left" vertical="center" indent="1"/>
    </xf>
    <xf numFmtId="0" fontId="70" fillId="0" borderId="0" xfId="0" applyFont="1" applyNumberFormat="1">
      <alignment vertical="center" wrapText="1"/>
    </xf>
    <xf numFmtId="0" fontId="27" fillId="0" borderId="23" xfId="0" applyFont="1" applyBorder="1" applyNumberFormat="1">
      <alignment horizontal="center" vertical="center"/>
    </xf>
    <xf numFmtId="0" fontId="27" fillId="0" borderId="21" xfId="0" applyFont="1" applyBorder="1" applyNumberFormat="1">
      <alignment horizontal="center" vertical="center"/>
    </xf>
    <xf numFmtId="0" fontId="27" fillId="0" borderId="0" xfId="0" applyFont="1" applyNumberFormat="1">
      <alignment horizontal="center" vertical="center"/>
    </xf>
    <xf numFmtId="0" fontId="55" fillId="0" borderId="0" xfId="0" applyFont="1" applyNumberFormat="1">
      <alignment horizontal="left" vertical="center" indent="1"/>
    </xf>
    <xf numFmtId="0" fontId="23" fillId="39" borderId="26" xfId="0" applyFont="1" applyFill="1" applyBorder="1" applyNumberFormat="1">
      <alignment horizontal="center" vertical="center" wrapText="1"/>
    </xf>
    <xf numFmtId="0" fontId="44" fillId="0" borderId="32" xfId="0" applyFont="1" applyBorder="1" applyNumberFormat="1">
      <alignment horizontal="center" vertical="center" wrapText="1"/>
    </xf>
    <xf numFmtId="0" fontId="44" fillId="0" borderId="23" xfId="0" applyFont="1" applyBorder="1" applyNumberFormat="1">
      <alignment horizontal="left" vertical="center" wrapText="1" indent="4"/>
    </xf>
    <xf numFmtId="0" fontId="44" fillId="0" borderId="23" xfId="0" applyFont="1" applyBorder="1" applyNumberFormat="1">
      <alignment horizontal="left" vertical="center" wrapText="1" indent="6"/>
    </xf>
    <xf numFmtId="0" fontId="44" fillId="0" borderId="21" xfId="0" applyFont="1" applyBorder="1" applyNumberFormat="1">
      <alignment horizontal="left" vertical="center" wrapText="1"/>
    </xf>
    <xf numFmtId="0" fontId="44" fillId="0" borderId="25" xfId="0" applyFont="1" applyBorder="1" applyNumberFormat="1">
      <alignment horizontal="left" vertical="center" wrapText="1"/>
    </xf>
    <xf numFmtId="0" fontId="44" fillId="0" borderId="20" xfId="0" applyFont="1" applyBorder="1" applyNumberFormat="1">
      <alignment horizontal="left" vertical="center" wrapText="1"/>
    </xf>
    <xf numFmtId="0" fontId="44" fillId="0" borderId="23" xfId="0" applyFont="1" applyBorder="1" applyNumberFormat="1">
      <alignment vertical="top" wrapText="1"/>
    </xf>
    <xf numFmtId="0" fontId="44" fillId="0" borderId="0" xfId="0" applyFont="1" applyNumberFormat="1">
      <alignment horizontal="center" vertical="center"/>
    </xf>
    <xf numFmtId="0" fontId="27" fillId="39" borderId="32" xfId="0" applyFont="1" applyFill="1" applyBorder="1" applyNumberFormat="1">
      <alignment horizontal="left" vertical="center" wrapText="1"/>
    </xf>
    <xf numFmtId="0" fontId="27" fillId="39" borderId="32" xfId="0" applyFont="1" applyFill="1" applyBorder="1" applyNumberFormat="1">
      <alignment horizontal="left" vertical="center" wrapText="1" indent="2"/>
    </xf>
    <xf numFmtId="0" fontId="27" fillId="0" borderId="32" xfId="0" applyFont="1" applyBorder="1" applyNumberFormat="1">
      <alignment horizontal="left" vertical="center" wrapText="1" indent="6"/>
    </xf>
    <xf numFmtId="0" fontId="27" fillId="37" borderId="33" xfId="0" applyFont="1" applyFill="1" applyBorder="1" applyNumberFormat="1">
      <alignment horizontal="left" vertical="center" wrapText="1"/>
    </xf>
    <xf numFmtId="0" fontId="27" fillId="37" borderId="26" xfId="0" applyFont="1" applyFill="1" applyBorder="1" applyNumberFormat="1">
      <alignment horizontal="left" vertical="center" wrapText="1"/>
    </xf>
    <xf numFmtId="0" fontId="27" fillId="37" borderId="27" xfId="0" applyFont="1" applyFill="1" applyBorder="1" applyNumberFormat="1">
      <alignment horizontal="left" vertical="center" wrapText="1"/>
    </xf>
    <xf numFmtId="0" fontId="27" fillId="37" borderId="23" xfId="0" applyFont="1" applyFill="1" applyBorder="1" applyNumberFormat="1">
      <alignment horizontal="left" vertical="center" wrapText="1"/>
    </xf>
    <xf numFmtId="0" fontId="49" fillId="0" borderId="20" xfId="0" applyFont="1" applyBorder="1" applyNumberFormat="1">
      <alignment vertical="top" wrapText="1"/>
    </xf>
    <xf numFmtId="0" fontId="44" fillId="0" borderId="20" xfId="0" applyFont="1" applyBorder="1" applyNumberFormat="1">
      <alignment vertical="top" wrapText="1"/>
    </xf>
    <xf numFmtId="0" fontId="27" fillId="40" borderId="23" xfId="0" applyFont="1" applyFill="1" applyBorder="1" applyNumberFormat="1">
      <alignment horizontal="left" vertical="center" wrapText="1"/>
    </xf>
    <xf numFmtId="0" fontId="27" fillId="39" borderId="30" xfId="0" applyFont="1" applyFill="1" applyBorder="1" applyNumberFormat="1">
      <alignment horizontal="left" vertical="center" wrapText="1"/>
    </xf>
    <xf numFmtId="0" fontId="27" fillId="40" borderId="30" xfId="0" applyFont="1" applyFill="1" applyBorder="1" applyNumberFormat="1">
      <alignment horizontal="left" vertical="center" wrapText="1" indent="6"/>
    </xf>
    <xf numFmtId="0" fontId="27" fillId="0" borderId="30" xfId="0" applyFont="1" applyBorder="1" applyNumberFormat="1">
      <alignment horizontal="left" vertical="center" wrapText="1" indent="6"/>
    </xf>
    <xf numFmtId="0" fontId="27" fillId="40" borderId="27" xfId="0" applyFont="1" applyFill="1" applyBorder="1" applyNumberFormat="1">
      <alignment horizontal="left" vertical="center" wrapText="1"/>
    </xf>
    <xf numFmtId="0" fontId="49" fillId="0" borderId="32" xfId="0" applyFont="1" applyBorder="1" applyNumberFormat="1">
      <alignment vertical="top" wrapText="1"/>
    </xf>
    <xf numFmtId="0" fontId="27" fillId="35" borderId="23" xfId="0" applyFont="1" applyFill="1" applyBorder="1" applyNumberFormat="1">
      <alignment horizontal="left" vertical="center" wrapText="1" indent="7"/>
      <protection locked="0"/>
    </xf>
    <xf numFmtId="0" fontId="27" fillId="41" borderId="25" xfId="0" applyFont="1" applyFill="1" applyBorder="1" applyNumberFormat="1">
      <alignment horizontal="left" vertical="center" wrapText="1" indent="6"/>
    </xf>
    <xf numFmtId="0" fontId="27" fillId="0" borderId="26" xfId="0" applyFont="1" applyBorder="1" applyNumberFormat="1">
      <alignment horizontal="center" vertical="center" wrapText="1"/>
    </xf>
    <xf numFmtId="0" fontId="27" fillId="0" borderId="45" xfId="0" applyFont="1" applyBorder="1" applyNumberFormat="1">
      <alignment horizontal="center" vertical="center" wrapText="1"/>
    </xf>
    <xf numFmtId="0" fontId="23" fillId="0" borderId="42" xfId="0" applyFont="1" applyBorder="1" applyNumberFormat="1">
      <alignment horizontal="center" vertical="center" wrapText="1"/>
    </xf>
    <xf numFmtId="0" fontId="55" fillId="0" borderId="0" xfId="0" applyFont="1" applyNumberFormat="1">
      <alignment horizontal="center" vertical="center"/>
    </xf>
    <xf numFmtId="0" fontId="45" fillId="39" borderId="0" xfId="0" applyFont="1" applyFill="1" applyNumberFormat="1">
      <alignment horizontal="center" vertical="center" wrapText="1"/>
    </xf>
    <xf numFmtId="0" fontId="44" fillId="0" borderId="23" xfId="0" applyFont="1" applyBorder="1" applyNumberFormat="1">
      <alignment horizontal="left" vertical="center" wrapText="1" indent="5"/>
    </xf>
    <xf numFmtId="0" fontId="44" fillId="0" borderId="29" xfId="0" applyFont="1" applyBorder="1" applyNumberFormat="1">
      <alignment horizontal="center" vertical="top" wrapText="1"/>
    </xf>
    <xf numFmtId="0" fontId="50" fillId="0" borderId="23" xfId="0" applyFont="1" applyBorder="1" applyNumberFormat="1">
      <alignment horizontal="center" vertical="center" wrapText="1"/>
    </xf>
    <xf numFmtId="0" fontId="27" fillId="0" borderId="23" xfId="0" applyFont="1" applyBorder="1" applyNumberFormat="1">
      <alignment horizontal="left" vertical="center" wrapText="1" indent="4"/>
    </xf>
    <xf numFmtId="0" fontId="27" fillId="39" borderId="42" xfId="0" applyFont="1" applyFill="1" applyBorder="1" applyNumberFormat="1">
      <alignment horizontal="left" vertical="center" wrapText="1"/>
    </xf>
    <xf numFmtId="0" fontId="44" fillId="0" borderId="29" xfId="0" applyFont="1" applyBorder="1" applyNumberFormat="1">
      <alignment horizontal="left" vertical="center" wrapText="1" indent="1"/>
    </xf>
    <xf numFmtId="0" fontId="37" fillId="0" borderId="0" xfId="0" applyFont="1" applyNumberFormat="1">
      <alignment horizontal="left" vertical="center"/>
    </xf>
    <xf numFmtId="0" fontId="83" fillId="39" borderId="0" xfId="0" applyFont="1" applyFill="1" applyNumberFormat="1">
      <alignment vertical="center" wrapText="1"/>
    </xf>
    <xf numFmtId="0" fontId="27" fillId="39" borderId="33" xfId="0" applyFont="1" applyFill="1" applyBorder="1" applyNumberFormat="1">
      <alignment horizontal="center" vertical="center" wrapText="1"/>
    </xf>
    <xf numFmtId="0" fontId="23" fillId="39" borderId="33" xfId="0" applyFont="1" applyFill="1" applyBorder="1" applyNumberFormat="1">
      <alignment horizontal="center" vertical="center" wrapText="1"/>
    </xf>
    <xf numFmtId="0" fontId="23" fillId="39" borderId="27" xfId="0" applyFont="1" applyFill="1" applyBorder="1" applyNumberFormat="1">
      <alignment horizontal="center" vertical="center" wrapText="1"/>
    </xf>
    <xf numFmtId="0" fontId="27" fillId="39" borderId="28" xfId="0" applyFont="1" applyFill="1" applyBorder="1" applyNumberFormat="1">
      <alignment horizontal="center" vertical="center" wrapText="1"/>
    </xf>
    <xf numFmtId="0" fontId="23" fillId="39" borderId="28" xfId="0" applyFont="1" applyFill="1" applyBorder="1" applyNumberFormat="1">
      <alignment horizontal="center" vertical="center" wrapText="1"/>
    </xf>
    <xf numFmtId="0" fontId="23" fillId="39" borderId="0" xfId="0" applyFont="1" applyFill="1" applyNumberFormat="1">
      <alignment horizontal="center" vertical="center" wrapText="1"/>
    </xf>
    <xf numFmtId="0" fontId="23" fillId="39" borderId="29" xfId="0" applyFont="1" applyFill="1" applyBorder="1" applyNumberFormat="1">
      <alignment horizontal="center" vertical="center" wrapText="1"/>
    </xf>
    <xf numFmtId="0" fontId="27" fillId="37" borderId="23" xfId="0" applyFont="1" applyFill="1" applyBorder="1" applyNumberFormat="1">
      <alignment horizontal="center" vertical="center" wrapText="1"/>
    </xf>
    <xf numFmtId="0" fontId="27" fillId="38" borderId="23" xfId="0" applyFont="1" applyFill="1" applyBorder="1" applyNumberFormat="1">
      <alignment horizontal="center" vertical="center" wrapText="1"/>
      <protection locked="0"/>
    </xf>
    <xf numFmtId="0" fontId="27" fillId="39" borderId="35" xfId="0" applyFont="1" applyFill="1" applyBorder="1" applyNumberFormat="1">
      <alignment horizontal="center" vertical="center" wrapText="1"/>
    </xf>
    <xf numFmtId="0" fontId="23" fillId="39" borderId="35" xfId="0" applyFont="1" applyFill="1" applyBorder="1" applyNumberFormat="1">
      <alignment horizontal="center" vertical="center" wrapText="1"/>
    </xf>
    <xf numFmtId="0" fontId="23" fillId="39" borderId="45" xfId="0" applyFont="1" applyFill="1" applyBorder="1" applyNumberFormat="1">
      <alignment horizontal="center" vertical="center" wrapText="1"/>
    </xf>
    <xf numFmtId="0" fontId="23" fillId="39" borderId="34" xfId="0" applyFont="1" applyFill="1" applyBorder="1" applyNumberFormat="1">
      <alignment horizontal="center" vertical="center" wrapText="1"/>
    </xf>
    <xf numFmtId="0" fontId="27" fillId="0" borderId="23" xfId="0" applyFont="1" applyBorder="1" applyNumberFormat="1">
      <alignment horizontal="left" vertical="center" wrapText="1" indent="1"/>
    </xf>
    <xf numFmtId="0" fontId="83" fillId="0" borderId="0" xfId="0" applyFont="1" applyNumberFormat="1">
      <alignment vertical="center" wrapText="1"/>
    </xf>
    <xf numFmtId="0" fontId="27" fillId="35" borderId="21" xfId="0" applyFont="1" applyFill="1" applyBorder="1" applyNumberFormat="1">
      <alignment horizontal="left" vertical="center" wrapText="1"/>
      <protection locked="0"/>
    </xf>
    <xf numFmtId="0" fontId="27" fillId="35" borderId="25" xfId="0" applyFont="1" applyFill="1" applyBorder="1" applyNumberFormat="1">
      <alignment horizontal="left" vertical="center" wrapText="1"/>
      <protection locked="0"/>
    </xf>
    <xf numFmtId="0" fontId="27" fillId="35" borderId="20" xfId="0" applyFont="1" applyFill="1" applyBorder="1" applyNumberFormat="1">
      <alignment horizontal="left" vertical="center" wrapText="1"/>
      <protection locked="0"/>
    </xf>
    <xf numFmtId="0" fontId="49" fillId="0" borderId="23" xfId="0" applyFont="1" applyBorder="1" applyNumberFormat="1">
      <alignment horizontal="left" vertical="top" wrapText="1"/>
    </xf>
    <xf numFmtId="0" fontId="27" fillId="0" borderId="0" xfId="0" applyFont="1" applyNumberFormat="1">
      <alignment horizontal="left" vertical="center"/>
    </xf>
    <xf numFmtId="0" fontId="27" fillId="38" borderId="20" xfId="0" applyFont="1" applyFill="1" applyBorder="1" applyNumberFormat="1">
      <alignment horizontal="center" vertical="center" wrapText="1"/>
      <protection locked="0"/>
    </xf>
    <xf numFmtId="0" fontId="27" fillId="39" borderId="34" xfId="0" applyFont="1" applyFill="1" applyBorder="1" applyNumberFormat="1">
      <alignment horizontal="center" vertical="center" wrapText="1"/>
    </xf>
    <xf numFmtId="0" fontId="88" fillId="39" borderId="0" xfId="0" applyFont="1" applyFill="1" applyNumberFormat="1">
      <alignment horizontal="center" vertical="center" wrapText="1"/>
    </xf>
    <xf numFmtId="0" fontId="44" fillId="39" borderId="23" xfId="0" applyFont="1" applyFill="1" applyBorder="1" applyNumberFormat="1">
      <alignment horizontal="left" vertical="center" wrapText="1" indent="3"/>
    </xf>
    <xf numFmtId="0" fontId="44" fillId="0" borderId="26" xfId="0" applyFont="1" applyBorder="1" applyNumberFormat="1">
      <alignment horizontal="left" vertical="center" wrapText="1"/>
    </xf>
    <xf numFmtId="0" fontId="27" fillId="0" borderId="66" xfId="0" applyFont="1" applyBorder="1" applyNumberFormat="1">
      <alignment horizontal="center" vertical="center" wrapText="1"/>
    </xf>
    <xf numFmtId="0" fontId="27" fillId="38" borderId="23" xfId="0" applyFont="1" applyFill="1" applyBorder="1" applyNumberFormat="1">
      <alignment horizontal="left" vertical="center" wrapText="1" indent="2"/>
      <protection locked="0"/>
    </xf>
    <xf numFmtId="0" fontId="44" fillId="0" borderId="66" xfId="0" applyFont="1" applyBorder="1" applyNumberFormat="1">
      <alignment horizontal="center" vertical="center" wrapText="1"/>
    </xf>
    <xf numFmtId="0" fontId="44" fillId="0" borderId="23" xfId="0" applyFont="1" applyBorder="1" applyNumberFormat="1">
      <alignment horizontal="left" vertical="center" wrapText="1" indent="2"/>
    </xf>
    <xf numFmtId="0" fontId="27" fillId="0" borderId="23" xfId="0" applyFont="1" applyBorder="1" applyNumberFormat="1">
      <alignment horizontal="left" vertical="center" wrapText="1" indent="3"/>
    </xf>
    <xf numFmtId="0" fontId="27" fillId="35" borderId="23" xfId="0" applyFont="1" applyFill="1" applyBorder="1" applyNumberFormat="1">
      <alignment horizontal="left" vertical="center" wrapText="1"/>
      <protection locked="0"/>
    </xf>
    <xf numFmtId="0" fontId="27" fillId="0" borderId="20" xfId="0" applyFont="1" applyBorder="1" applyNumberFormat="1">
      <alignment vertical="top" wrapText="1"/>
    </xf>
    <xf numFmtId="0" fontId="27" fillId="0" borderId="27" xfId="0" applyFont="1" applyBorder="1" applyNumberFormat="1">
      <alignment vertical="center" wrapText="1"/>
    </xf>
    <xf numFmtId="0" fontId="0" fillId="0" borderId="0" xfId="0" applyFont="1" applyNumberFormat="1">
      <alignment vertical="top"/>
    </xf>
    <xf numFmtId="0" fontId="80" fillId="39" borderId="0" xfId="0" applyFont="1" applyFill="1" applyNumberFormat="1">
      <alignment horizontal="right" vertical="center"/>
    </xf>
    <xf numFmtId="0" fontId="27" fillId="0" borderId="21" xfId="0" applyFont="1" applyBorder="1" applyNumberFormat="1">
      <alignment vertical="center" wrapText="1"/>
    </xf>
    <xf numFmtId="0" fontId="27" fillId="0" borderId="25" xfId="0" applyFont="1" applyBorder="1" applyNumberFormat="1">
      <alignment horizontal="right" vertical="center" wrapText="1" indent="1"/>
    </xf>
    <xf numFmtId="0" fontId="27" fillId="0" borderId="20" xfId="0" applyFont="1" applyBorder="1" applyNumberFormat="1">
      <alignment horizontal="right" vertical="center" wrapText="1" indent="1"/>
    </xf>
    <xf numFmtId="0" fontId="27" fillId="37" borderId="21" xfId="0" applyFont="1" applyFill="1" applyBorder="1" applyNumberFormat="1">
      <alignment horizontal="left" vertical="top" wrapText="1"/>
    </xf>
    <xf numFmtId="0" fontId="27" fillId="0" borderId="21" xfId="0" applyFont="1" applyBorder="1" applyNumberFormat="1">
      <alignment horizontal="right" vertical="center" wrapText="1"/>
    </xf>
    <xf numFmtId="0" fontId="27" fillId="0" borderId="25" xfId="0" applyFont="1" applyBorder="1" applyNumberFormat="1">
      <alignment horizontal="right" vertical="center" wrapText="1"/>
    </xf>
    <xf numFmtId="0" fontId="55" fillId="0" borderId="0" xfId="0" applyFont="1" applyNumberFormat="1">
      <alignment horizontal="center" vertical="center" wrapText="1"/>
    </xf>
    <xf numFmtId="0" fontId="55" fillId="0" borderId="23" xfId="0" applyFont="1" applyBorder="1" applyNumberFormat="1">
      <alignment horizontal="left" vertical="center" wrapText="1" indent="2"/>
    </xf>
    <xf numFmtId="0" fontId="55" fillId="0" borderId="23" xfId="0" applyFont="1" applyBorder="1" applyNumberFormat="1">
      <alignment horizontal="center" vertical="center" wrapText="1"/>
    </xf>
    <xf numFmtId="0" fontId="55" fillId="0" borderId="23" xfId="0" applyFont="1" applyBorder="1" applyNumberFormat="1">
      <alignment vertical="center" wrapText="1"/>
    </xf>
    <xf numFmtId="0" fontId="55" fillId="0" borderId="66" xfId="0" applyFont="1" applyBorder="1" applyNumberFormat="1">
      <alignment horizontal="center" vertical="center" wrapText="1"/>
    </xf>
    <xf numFmtId="0" fontId="55" fillId="0" borderId="23" xfId="0" applyFont="1" applyBorder="1" applyNumberFormat="1">
      <alignment horizontal="left" vertical="center" wrapText="1" indent="3"/>
    </xf>
    <xf numFmtId="0" fontId="27" fillId="41" borderId="25" xfId="0" applyFont="1" applyFill="1" applyBorder="1" applyNumberFormat="1">
      <alignment vertical="center" wrapText="1"/>
    </xf>
    <xf numFmtId="0" fontId="37" fillId="41" borderId="20" xfId="0" applyFont="1" applyFill="1" applyBorder="1" applyNumberFormat="1">
      <alignment vertical="center" wrapText="1"/>
    </xf>
    <xf numFmtId="0" fontId="27" fillId="0" borderId="23" xfId="0" applyFont="1" applyBorder="1" applyNumberFormat="1">
      <alignment horizontal="left" vertical="center" wrapText="1" indent="2"/>
    </xf>
    <xf numFmtId="0" fontId="37" fillId="0" borderId="0" xfId="0" applyFont="1" applyNumberFormat="1">
      <alignment horizontal="left" vertical="center" wrapText="1"/>
    </xf>
    <xf numFmtId="0" fontId="44" fillId="0" borderId="23" xfId="0" applyFont="1" applyBorder="1" applyNumberFormat="1">
      <alignment horizontal="left" vertical="center" wrapText="1" indent="3"/>
    </xf>
    <xf numFmtId="0" fontId="44" fillId="0" borderId="32" xfId="0" applyFont="1" applyBorder="1" applyNumberFormat="1">
      <alignment vertical="top" wrapText="1"/>
    </xf>
    <xf numFmtId="0" fontId="27" fillId="0" borderId="21" xfId="0" applyFont="1" applyBorder="1" applyNumberFormat="1">
      <alignment horizontal="left" vertical="center" wrapText="1" indent="2"/>
    </xf>
    <xf numFmtId="0" fontId="27" fillId="0" borderId="21" xfId="0" applyFont="1" applyBorder="1" applyNumberFormat="1">
      <alignment horizontal="left" vertical="center" wrapText="1" indent="1"/>
    </xf>
    <xf numFmtId="49" fontId="42" fillId="38" borderId="23" xfId="430" applyFont="1" applyFill="1" applyBorder="1" applyNumberFormat="1">
      <alignment horizontal="left" vertical="center" wrapText="1"/>
      <protection locked="0"/>
    </xf>
    <xf numFmtId="49" fontId="42" fillId="38" borderId="20" xfId="1078" applyFont="1" applyFill="1" applyBorder="1" applyNumberFormat="1">
      <alignment horizontal="left" vertical="center" wrapText="1"/>
      <protection locked="0"/>
    </xf>
    <xf numFmtId="0" fontId="44" fillId="0" borderId="42" xfId="0" applyFont="1" applyBorder="1" applyNumberFormat="1">
      <alignment horizontal="left" vertical="center" wrapText="1" indent="1"/>
    </xf>
    <xf numFmtId="0" fontId="44" fillId="0" borderId="42" xfId="0" applyFont="1" applyBorder="1" applyNumberFormat="1">
      <alignment horizontal="center" vertical="center" wrapText="1"/>
    </xf>
    <xf numFmtId="0" fontId="44" fillId="0" borderId="32" xfId="0" applyFont="1" applyBorder="1" applyNumberFormat="1">
      <alignment vertical="center" wrapText="1"/>
    </xf>
    <xf numFmtId="0" fontId="27" fillId="0" borderId="30" xfId="0" applyFont="1" applyBorder="1" applyNumberFormat="1">
      <alignment vertical="top" wrapText="1"/>
    </xf>
    <xf numFmtId="0" fontId="44" fillId="0" borderId="30" xfId="0" applyFont="1" applyBorder="1" applyNumberFormat="1">
      <alignment horizontal="left" vertical="center" wrapText="1" indent="1"/>
    </xf>
    <xf numFmtId="0" fontId="44" fillId="0" borderId="32" xfId="0" applyFont="1" applyBorder="1" applyNumberFormat="1">
      <alignment horizontal="left" vertical="center" wrapText="1" indent="1"/>
    </xf>
    <xf numFmtId="0" fontId="67" fillId="0" borderId="0" xfId="0" applyFont="1" applyNumberFormat="1">
      <alignment vertical="center" wrapText="1"/>
    </xf>
    <xf numFmtId="0" fontId="27" fillId="0" borderId="26" xfId="0" applyFont="1" applyBorder="1" applyNumberFormat="1">
      <alignment vertical="center" wrapText="1"/>
    </xf>
    <xf numFmtId="0" fontId="27" fillId="0" borderId="45" xfId="0" applyFont="1" applyBorder="1" applyNumberFormat="1">
      <alignment vertical="center" wrapText="1"/>
    </xf>
    <xf numFmtId="0" fontId="84" fillId="39" borderId="0" xfId="0" applyFont="1" applyFill="1" applyNumberFormat="1">
      <alignment horizontal="right" vertical="center"/>
    </xf>
    <xf numFmtId="0" fontId="23" fillId="0" borderId="0" xfId="0" applyFont="1" applyNumberFormat="1">
      <alignment vertical="top"/>
    </xf>
    <xf numFmtId="0" fontId="23" fillId="0" borderId="21" xfId="0" applyFont="1" applyBorder="1" applyNumberFormat="1">
      <alignment horizontal="right" vertical="center" wrapText="1" indent="1"/>
    </xf>
    <xf numFmtId="0" fontId="23" fillId="0" borderId="25" xfId="0" applyFont="1" applyBorder="1" applyNumberFormat="1">
      <alignment horizontal="right" vertical="center" wrapText="1" indent="1"/>
    </xf>
    <xf numFmtId="0" fontId="23" fillId="0" borderId="20" xfId="0" applyFont="1" applyBorder="1" applyNumberFormat="1">
      <alignment horizontal="right" vertical="center" wrapText="1" indent="1"/>
    </xf>
    <xf numFmtId="0" fontId="27" fillId="0" borderId="20" xfId="0" applyFont="1" applyBorder="1" applyNumberFormat="1">
      <alignment horizontal="left" vertical="center" wrapText="1" indent="1"/>
    </xf>
    <xf numFmtId="0" fontId="76" fillId="0" borderId="0" xfId="0" applyFont="1" applyNumberFormat="1">
      <alignment vertical="top"/>
    </xf>
    <xf numFmtId="0" fontId="77" fillId="0" borderId="0" xfId="0" applyFont="1" applyNumberFormat="1">
      <alignment vertical="top"/>
    </xf>
    <xf numFmtId="0" fontId="27" fillId="0" borderId="30" xfId="0" applyFont="1" applyBorder="1" applyNumberFormat="1">
      <alignment horizontal="left" vertical="center" wrapText="1"/>
    </xf>
    <xf numFmtId="0" fontId="44" fillId="0" borderId="28" xfId="0" applyFont="1" applyBorder="1" applyNumberFormat="1">
      <alignment vertical="center" wrapText="1"/>
    </xf>
    <xf numFmtId="0" fontId="48" fillId="0" borderId="23" xfId="0" applyFont="1" applyBorder="1" applyNumberFormat="1">
      <alignment horizontal="left" vertical="center" indent="1"/>
    </xf>
    <xf numFmtId="0" fontId="0" fillId="0" borderId="0" xfId="0" applyFont="1" applyNumberFormat="1">
      <alignment vertical="top"/>
    </xf>
    <xf numFmtId="0" fontId="37" fillId="53" borderId="23" xfId="0" applyFont="1" applyFill="1" applyBorder="1" applyNumberFormat="1">
      <alignment horizontal="left" vertical="center" wrapText="1"/>
    </xf>
    <xf numFmtId="0" fontId="27" fillId="49" borderId="23" xfId="0" applyFont="1" applyFill="1" applyBorder="1" applyNumberFormat="1">
      <alignment vertical="center"/>
    </xf>
    <xf numFmtId="0" fontId="44" fillId="0" borderId="21" xfId="0" applyFont="1" applyBorder="1" applyNumberFormat="1">
      <alignment vertical="center" wrapText="1"/>
    </xf>
    <xf numFmtId="0" fontId="27" fillId="0" borderId="26" xfId="0" applyFont="1" applyBorder="1" applyNumberFormat="1">
      <alignment horizontal="right" vertical="center" wrapText="1" indent="1"/>
    </xf>
    <xf numFmtId="0" fontId="89" fillId="0" borderId="0" xfId="0" applyFont="1" applyNumberFormat="1">
      <alignment vertical="center" wrapText="1"/>
    </xf>
    <xf numFmtId="0" fontId="37" fillId="41" borderId="25" xfId="0" applyFont="1" applyFill="1" applyBorder="1" applyNumberFormat="1">
      <alignment vertical="center" wrapText="1"/>
    </xf>
    <xf numFmtId="0" fontId="27" fillId="0" borderId="23" xfId="0" applyFont="1" applyBorder="1" applyNumberFormat="1">
      <alignment vertical="top" wrapText="1"/>
    </xf>
    <xf numFmtId="0" fontId="27" fillId="39" borderId="0" xfId="0" applyFont="1" applyFill="1" applyNumberFormat="1">
      <alignment horizontal="right" vertical="center" wrapText="1"/>
    </xf>
    <xf numFmtId="0" fontId="27" fillId="39" borderId="0" xfId="0" applyFont="1" applyFill="1" applyNumberFormat="1">
      <alignment horizontal="right" vertical="center"/>
    </xf>
    <xf numFmtId="0" fontId="27" fillId="39" borderId="21" xfId="0" applyFont="1" applyFill="1" applyBorder="1" applyNumberFormat="1">
      <alignment horizontal="center" vertical="center" wrapText="1"/>
    </xf>
    <xf numFmtId="0" fontId="27" fillId="39" borderId="25" xfId="0" applyFont="1" applyFill="1" applyBorder="1" applyNumberFormat="1">
      <alignment horizontal="center" vertical="center" wrapText="1"/>
    </xf>
    <xf numFmtId="0" fontId="27" fillId="39" borderId="27" xfId="0" applyFont="1" applyFill="1" applyBorder="1" applyNumberFormat="1">
      <alignment horizontal="center" vertical="center" wrapText="1"/>
    </xf>
    <xf numFmtId="0" fontId="27" fillId="39" borderId="23" xfId="0" applyFont="1" applyFill="1" applyBorder="1" applyNumberFormat="1">
      <alignment horizontal="center" vertical="center"/>
    </xf>
    <xf numFmtId="0" fontId="23" fillId="0" borderId="23" xfId="0" applyFont="1" applyBorder="1" applyNumberFormat="1">
      <alignment horizontal="left" vertical="top" wrapText="1"/>
    </xf>
    <xf numFmtId="0" fontId="23" fillId="0" borderId="23" xfId="0" applyFont="1" applyBorder="1" applyNumberFormat="1">
      <alignment horizontal="left" vertical="center" wrapText="1"/>
    </xf>
    <xf numFmtId="0" fontId="27" fillId="41" borderId="21" xfId="0" applyFont="1" applyFill="1" applyBorder="1" applyNumberFormat="1">
      <alignment vertical="center" wrapText="1"/>
    </xf>
    <xf numFmtId="0" fontId="44" fillId="0" borderId="25" xfId="0" applyFont="1" applyBorder="1" applyNumberFormat="1">
      <alignment horizontal="right" vertical="center" wrapText="1" indent="1"/>
    </xf>
    <xf numFmtId="0" fontId="44" fillId="0" borderId="20" xfId="0" applyFont="1" applyBorder="1" applyNumberFormat="1">
      <alignment horizontal="right" vertical="center" wrapText="1" indent="1"/>
    </xf>
    <xf numFmtId="0" fontId="44" fillId="0" borderId="21" xfId="0" applyFont="1" applyBorder="1" applyNumberFormat="1">
      <alignment horizontal="left" vertical="top" wrapText="1"/>
    </xf>
    <xf numFmtId="0" fontId="27" fillId="0" borderId="0" xfId="0" applyFont="1" applyNumberFormat="1">
      <alignment horizontal="right" vertical="top" wrapText="1"/>
    </xf>
    <xf numFmtId="0" fontId="27" fillId="0" borderId="0" xfId="0" applyFont="1" applyNumberFormat="1">
      <alignment horizontal="left" vertical="top" wrapText="1"/>
    </xf>
    <xf numFmtId="0" fontId="44" fillId="0" borderId="45" xfId="0" applyFont="1" applyBorder="1" applyNumberFormat="1">
      <alignment vertical="center" wrapText="1"/>
    </xf>
    <xf numFmtId="0" fontId="27" fillId="37" borderId="20" xfId="0" applyFont="1" applyFill="1" applyBorder="1" applyNumberFormat="1">
      <alignment horizontal="left" vertical="top" wrapText="1"/>
    </xf>
    <xf numFmtId="0" fontId="90" fillId="0" borderId="28" xfId="0" applyFont="1" applyBorder="1" applyNumberFormat="1">
      <alignment vertical="center" wrapText="1"/>
    </xf>
    <xf numFmtId="0" fontId="27" fillId="0" borderId="0" xfId="0" applyFont="1" applyNumberFormat="1">
      <alignment vertical="top" wrapText="1"/>
    </xf>
    <xf numFmtId="0" fontId="27" fillId="0" borderId="0" xfId="0" applyFont="1" applyNumberFormat="1">
      <alignment vertical="top"/>
    </xf>
    <xf numFmtId="0" fontId="27" fillId="0" borderId="52" xfId="0" applyFont="1" applyBorder="1" applyNumberFormat="1">
      <alignment horizontal="left" vertical="center" wrapText="1"/>
    </xf>
    <xf numFmtId="0" fontId="27" fillId="0" borderId="54" xfId="0" applyFont="1" applyBorder="1" applyNumberFormat="1">
      <alignment horizontal="left" vertical="center" wrapText="1" indent="1"/>
    </xf>
    <xf numFmtId="0" fontId="27" fillId="0" borderId="54" xfId="0" applyFont="1" applyBorder="1" applyNumberFormat="1">
      <alignment horizontal="left" vertical="center" wrapText="1"/>
    </xf>
    <xf numFmtId="0" fontId="27" fillId="0" borderId="49" xfId="0" applyFont="1" applyBorder="1" applyNumberFormat="1">
      <alignment horizontal="left" vertical="center" wrapText="1" indent="1"/>
    </xf>
    <xf numFmtId="0" fontId="27" fillId="0" borderId="49" xfId="0" applyFont="1" applyBorder="1" applyNumberFormat="1">
      <alignment horizontal="left" vertical="center" wrapText="1"/>
    </xf>
    <xf numFmtId="0" fontId="27" fillId="0" borderId="49" xfId="0" applyFont="1" applyBorder="1" applyNumberFormat="1">
      <alignment horizontal="left" vertical="center" wrapText="1" indent="2"/>
    </xf>
    <xf numFmtId="0" fontId="27" fillId="0" borderId="71" xfId="0" applyFont="1" applyBorder="1" applyNumberFormat="1">
      <alignment horizontal="left" vertical="center" wrapText="1"/>
    </xf>
    <xf numFmtId="0" fontId="47" fillId="0" borderId="29" xfId="0" applyFont="1" applyBorder="1" applyNumberFormat="1">
      <alignment horizontal="center" vertical="center" wrapText="1"/>
    </xf>
    <xf numFmtId="0" fontId="23" fillId="0" borderId="21" xfId="0" applyFont="1" applyBorder="1" applyNumberFormat="1">
      <alignment horizontal="center" vertical="center"/>
    </xf>
    <xf numFmtId="0" fontId="27" fillId="37" borderId="21" xfId="0" applyFont="1" applyFill="1" applyBorder="1" applyNumberFormat="1">
      <alignment horizontal="left" vertical="top" wrapText="1" indent="1"/>
    </xf>
    <xf numFmtId="0" fontId="27" fillId="37" borderId="20" xfId="0" applyFont="1" applyFill="1" applyBorder="1" applyNumberFormat="1">
      <alignment horizontal="left" vertical="top" wrapText="1" indent="1"/>
    </xf>
    <xf numFmtId="0" fontId="27" fillId="41" borderId="26" xfId="0" applyFont="1" applyFill="1" applyBorder="1" applyNumberFormat="1">
      <alignment vertical="center" wrapText="1"/>
    </xf>
    <xf numFmtId="0" fontId="27" fillId="0" borderId="20" xfId="0" applyFont="1" applyBorder="1" applyNumberFormat="1">
      <alignment vertical="center" wrapText="1"/>
    </xf>
    <xf numFmtId="0" fontId="27" fillId="41" borderId="45" xfId="0" applyFont="1" applyFill="1" applyBorder="1" applyNumberFormat="1">
      <alignment vertical="center" wrapText="1"/>
    </xf>
    <xf numFmtId="0" fontId="47" fillId="0" borderId="0" xfId="0" applyFont="1" applyNumberFormat="1">
      <alignment horizontal="center" vertical="center" wrapText="1"/>
    </xf>
    <xf numFmtId="0" fontId="87" fillId="0" borderId="0" xfId="0" applyFont="1" applyNumberFormat="1">
      <alignment vertical="center" wrapText="1"/>
    </xf>
    <xf numFmtId="0" fontId="23" fillId="39" borderId="32" xfId="0" applyFont="1" applyFill="1" applyBorder="1" applyNumberFormat="1">
      <alignment horizontal="center" vertical="center" wrapText="1"/>
    </xf>
    <xf numFmtId="0" fontId="23" fillId="0" borderId="23" xfId="0" applyFont="1" applyBorder="1" applyNumberFormat="1">
      <alignment horizontal="left" vertical="center" wrapText="1" indent="1"/>
    </xf>
    <xf numFmtId="0" fontId="27" fillId="41" borderId="34" xfId="0" applyFont="1" applyFill="1" applyBorder="1" applyNumberFormat="1">
      <alignment vertical="center" wrapText="1"/>
    </xf>
    <xf numFmtId="0" fontId="27" fillId="39" borderId="19" xfId="0" applyFont="1" applyFill="1" applyBorder="1" applyNumberFormat="1">
      <alignment vertical="center" wrapText="1"/>
    </xf>
    <xf numFmtId="0" fontId="31" fillId="39" borderId="19" xfId="0" applyFont="1" applyFill="1" applyBorder="1" applyNumberFormat="1">
      <alignment horizontal="center" wrapText="1"/>
    </xf>
    <xf numFmtId="0" fontId="27" fillId="0" borderId="15" xfId="0" applyFont="1" applyBorder="1" applyNumberFormat="1">
      <alignment horizontal="center" vertical="center"/>
    </xf>
    <xf numFmtId="0" fontId="27" fillId="0" borderId="16" xfId="0" applyFont="1" applyBorder="1" applyNumberFormat="1">
      <alignment horizontal="center" vertical="center"/>
    </xf>
    <xf numFmtId="0" fontId="27" fillId="0" borderId="17" xfId="0" applyFont="1" applyBorder="1" applyNumberFormat="1">
      <alignment horizontal="center" vertical="center"/>
    </xf>
    <xf numFmtId="0" fontId="27" fillId="0" borderId="13" xfId="0" applyFont="1" applyBorder="1" applyNumberFormat="1">
      <alignment vertical="center" wrapText="1"/>
    </xf>
    <xf numFmtId="0" fontId="27" fillId="39" borderId="26" xfId="0" applyFont="1" applyFill="1" applyBorder="1" applyNumberFormat="1">
      <alignment vertical="center" wrapText="1"/>
    </xf>
    <xf numFmtId="0" fontId="44" fillId="0" borderId="19" xfId="0" applyFont="1" applyBorder="1" applyNumberFormat="1">
      <alignment vertical="center" wrapText="1"/>
    </xf>
    <xf numFmtId="0" fontId="27" fillId="0" borderId="72" xfId="0" applyFont="1" applyBorder="1" applyNumberFormat="1">
      <alignment horizontal="center" vertical="center"/>
    </xf>
    <xf numFmtId="0" fontId="27" fillId="0" borderId="44" xfId="0" applyFont="1" applyBorder="1" applyNumberFormat="1">
      <alignment horizontal="center" vertical="center"/>
    </xf>
    <xf numFmtId="0" fontId="27" fillId="0" borderId="13" xfId="0" applyFont="1" applyBorder="1" applyNumberFormat="1">
      <alignment vertical="center"/>
    </xf>
    <xf numFmtId="0" fontId="23" fillId="37" borderId="23" xfId="0" applyFont="1" applyFill="1" applyBorder="1" applyNumberFormat="1">
      <alignment horizontal="center" vertical="center" wrapText="1"/>
    </xf>
    <xf numFmtId="0" fontId="27" fillId="0" borderId="28" xfId="0" applyFont="1" applyBorder="1" applyNumberFormat="1">
      <alignment vertical="center" wrapText="1"/>
    </xf>
    <xf numFmtId="0" fontId="27" fillId="0" borderId="27" xfId="0" applyFont="1" applyBorder="1" applyNumberFormat="1">
      <alignment horizontal="left" vertical="top" wrapText="1"/>
    </xf>
    <xf numFmtId="0" fontId="27" fillId="45" borderId="21" xfId="0" applyFont="1" applyFill="1" applyBorder="1" applyNumberFormat="1">
      <alignment horizontal="center" vertical="center" wrapText="1"/>
    </xf>
    <xf numFmtId="0" fontId="27" fillId="45" borderId="25" xfId="0" applyFont="1" applyFill="1" applyBorder="1" applyNumberFormat="1">
      <alignment horizontal="center" vertical="center" wrapText="1"/>
    </xf>
    <xf numFmtId="0" fontId="27" fillId="45" borderId="20" xfId="0" applyFont="1" applyFill="1" applyBorder="1" applyNumberFormat="1">
      <alignment horizontal="center" vertical="center" wrapText="1"/>
    </xf>
    <xf numFmtId="0" fontId="27" fillId="43" borderId="23" xfId="0" applyFont="1" applyFill="1" applyBorder="1" applyNumberFormat="1">
      <alignment horizontal="center" vertical="center" wrapText="1"/>
    </xf>
    <xf numFmtId="0" fontId="27" fillId="43" borderId="21" xfId="0" applyFont="1" applyFill="1" applyBorder="1" applyNumberFormat="1">
      <alignment horizontal="center" vertical="center" wrapText="1"/>
    </xf>
    <xf numFmtId="0" fontId="27" fillId="39" borderId="20" xfId="0" applyFont="1" applyFill="1" applyBorder="1" applyNumberFormat="1">
      <alignment horizontal="center" vertical="center" wrapText="1"/>
    </xf>
    <xf numFmtId="0" fontId="27" fillId="43" borderId="20" xfId="0" applyFont="1" applyFill="1" applyBorder="1" applyNumberFormat="1">
      <alignment horizontal="center" vertical="center" wrapText="1"/>
    </xf>
    <xf numFmtId="0" fontId="47" fillId="0" borderId="23" xfId="0" applyFont="1" applyBorder="1" applyNumberFormat="1">
      <alignment horizontal="center" vertical="center"/>
    </xf>
    <xf numFmtId="0" fontId="27" fillId="0" borderId="32" xfId="0" applyFont="1" applyBorder="1" applyNumberFormat="1">
      <alignment horizontal="right" vertical="center"/>
    </xf>
    <xf numFmtId="0" fontId="27" fillId="0" borderId="32" xfId="0" applyFont="1" applyBorder="1" applyNumberFormat="1">
      <alignment horizontal="center" vertical="center"/>
    </xf>
    <xf numFmtId="0" fontId="27" fillId="0" borderId="23" xfId="0" applyFont="1" applyBorder="1" applyNumberFormat="1">
      <alignment horizontal="right" vertical="center"/>
    </xf>
    <xf numFmtId="0" fontId="37" fillId="0" borderId="23" xfId="0" applyFont="1" applyBorder="1" applyNumberFormat="1">
      <alignment vertical="top" wrapText="1"/>
    </xf>
    <xf numFmtId="0" fontId="23" fillId="0" borderId="23" xfId="0" applyFont="1" applyBorder="1" applyNumberFormat="1">
      <alignment vertical="center" wrapText="1"/>
    </xf>
    <xf numFmtId="0" fontId="23" fillId="38" borderId="23" xfId="0" applyFont="1" applyFill="1" applyBorder="1" applyNumberFormat="1">
      <alignment horizontal="left" vertical="center" wrapText="1" indent="2"/>
      <protection locked="0"/>
    </xf>
    <xf numFmtId="0" fontId="56" fillId="0" borderId="23" xfId="0" applyFont="1" applyBorder="1" applyNumberFormat="1">
      <alignment horizontal="left" vertical="center" wrapText="1" indent="2"/>
    </xf>
    <xf numFmtId="0" fontId="27" fillId="0" borderId="32" xfId="0" applyFont="1" applyBorder="1" applyNumberFormat="1">
      <alignment vertical="top" wrapText="1"/>
    </xf>
    <xf numFmtId="0" fontId="23" fillId="38" borderId="23" xfId="0" applyFont="1" applyFill="1" applyBorder="1" applyNumberFormat="1">
      <alignment horizontal="left" vertical="center" wrapText="1"/>
      <protection locked="0"/>
    </xf>
    <xf numFmtId="0" fontId="23" fillId="0" borderId="23" xfId="0" applyFont="1" applyBorder="1" applyNumberFormat="1">
      <alignment horizontal="left" vertical="center" wrapText="1" indent="2"/>
    </xf>
    <xf numFmtId="0" fontId="27" fillId="0" borderId="25" xfId="0" applyFont="1" applyBorder="1" applyNumberFormat="1">
      <alignment horizontal="left" vertical="top" wrapText="1" indent="1"/>
    </xf>
    <xf numFmtId="0" fontId="23" fillId="39" borderId="21" xfId="0" applyFont="1" applyFill="1" applyBorder="1" applyNumberFormat="1">
      <alignment horizontal="right" vertical="center" wrapText="1" indent="1"/>
    </xf>
    <xf numFmtId="0" fontId="23" fillId="0" borderId="32" xfId="0" applyFont="1" applyBorder="1" applyNumberFormat="1">
      <alignment horizontal="left" vertical="center" wrapText="1"/>
    </xf>
    <xf numFmtId="0" fontId="70" fillId="39" borderId="0" xfId="0" applyFont="1" applyFill="1" applyNumberFormat="1">
      <alignment horizontal="center" vertical="top" wrapText="1"/>
    </xf>
    <xf numFmtId="0" fontId="23" fillId="37" borderId="21" xfId="0" applyFont="1" applyFill="1" applyBorder="1" applyNumberFormat="1">
      <alignment horizontal="left" vertical="center" wrapText="1" indent="1"/>
    </xf>
    <xf numFmtId="0" fontId="70" fillId="39" borderId="29" xfId="0" applyFont="1" applyFill="1" applyBorder="1" applyNumberFormat="1">
      <alignment horizontal="center" vertical="top" wrapText="1"/>
    </xf>
    <xf numFmtId="0" fontId="23" fillId="37" borderId="30" xfId="0" applyFont="1" applyFill="1" applyBorder="1" applyNumberFormat="1">
      <alignment horizontal="left" vertical="center" wrapText="1" indent="1"/>
    </xf>
    <xf numFmtId="0" fontId="27" fillId="0" borderId="26" xfId="0" applyFont="1" applyBorder="1" applyNumberFormat="1">
      <alignment horizontal="left" vertical="top" wrapText="1"/>
    </xf>
    <xf numFmtId="0" fontId="23" fillId="45" borderId="23" xfId="0" applyFont="1" applyFill="1" applyBorder="1" applyNumberFormat="1">
      <alignment horizontal="center" vertical="center"/>
    </xf>
    <xf numFmtId="0" fontId="27" fillId="0" borderId="23" xfId="0" applyFont="1" applyBorder="1" applyNumberFormat="1">
      <alignment vertical="center"/>
    </xf>
    <xf numFmtId="0" fontId="23" fillId="0" borderId="23" xfId="0" applyFont="1" applyBorder="1" applyNumberFormat="1">
      <alignment vertical="center"/>
    </xf>
    <xf numFmtId="0" fontId="23" fillId="0" borderId="21" xfId="0" applyFont="1" applyBorder="1" applyNumberFormat="1">
      <alignment vertical="center"/>
    </xf>
    <xf numFmtId="0" fontId="27" fillId="0" borderId="21" xfId="0" applyFont="1" applyBorder="1" applyNumberFormat="1">
      <alignment horizontal="left" vertical="center"/>
    </xf>
    <xf numFmtId="0" fontId="23" fillId="0" borderId="20" xfId="0" applyFont="1" applyBorder="1" applyNumberFormat="1">
      <alignment vertical="center"/>
    </xf>
    <xf numFmtId="0" fontId="23" fillId="0" borderId="23" xfId="0" applyFont="1" applyBorder="1" applyNumberFormat="1">
      <alignment horizontal="right" vertical="top"/>
    </xf>
    <xf numFmtId="0" fontId="23" fillId="0" borderId="23" xfId="0" applyFont="1" applyBorder="1" applyNumberFormat="1">
      <alignment vertical="top"/>
    </xf>
    <xf numFmtId="0" fontId="27" fillId="0" borderId="20" xfId="0" applyFont="1" applyBorder="1" applyNumberFormat="1">
      <alignment vertical="center"/>
    </xf>
    <xf numFmtId="0" fontId="27" fillId="0" borderId="23" xfId="0" applyFont="1" applyBorder="1" applyNumberFormat="1">
      <alignment vertical="top"/>
    </xf>
    <xf numFmtId="0" fontId="23" fillId="48" borderId="0" xfId="0" applyFont="1" applyFill="1" applyNumberFormat="1">
      <alignment horizontal="right" vertical="center"/>
    </xf>
    <xf numFmtId="0" fontId="23" fillId="48" borderId="0" xfId="0" applyFont="1" applyFill="1" applyNumberFormat="1">
      <alignment horizontal="left" vertical="center"/>
    </xf>
    <xf numFmtId="0" fontId="23" fillId="0" borderId="0" xfId="0" applyFont="1" applyNumberFormat="1">
      <alignment horizontal="right" vertical="top"/>
    </xf>
    <xf numFmtId="0" fontId="67" fillId="48" borderId="0" xfId="0" applyFont="1" applyFill="1" applyNumberFormat="1">
      <alignment horizontal="left" vertical="center"/>
    </xf>
    <xf numFmtId="0" fontId="23" fillId="0" borderId="21" xfId="0" applyFont="1" applyBorder="1" applyNumberFormat="1">
      <alignment horizontal="left" vertical="center"/>
    </xf>
    <xf numFmtId="0" fontId="23" fillId="0" borderId="32" xfId="0" applyFont="1" applyBorder="1" applyNumberFormat="1">
      <alignment vertical="top"/>
    </xf>
    <xf numFmtId="0" fontId="27" fillId="0" borderId="32" xfId="0" applyFont="1" applyBorder="1" applyNumberFormat="1">
      <alignment vertical="center"/>
    </xf>
    <xf numFmtId="0" fontId="27" fillId="48" borderId="0" xfId="0" applyFont="1" applyFill="1" applyNumberFormat="1">
      <alignment horizontal="left" vertical="center"/>
    </xf>
    <xf numFmtId="0" fontId="23" fillId="48" borderId="50" xfId="0" applyFont="1" applyFill="1" applyBorder="1" applyNumberFormat="1">
      <alignment horizontal="center"/>
    </xf>
    <xf numFmtId="0" fontId="23" fillId="0" borderId="50" xfId="0" applyFont="1" applyBorder="1" applyNumberFormat="1">
      <alignment horizontal="center"/>
    </xf>
    <xf numFmtId="0" fontId="23" fillId="37" borderId="49" xfId="0" applyFont="1" applyFill="1" applyBorder="1" applyNumberFormat="1">
      <alignment horizontal="center" vertical="center"/>
    </xf>
    <xf numFmtId="0" fontId="20" fillId="0" borderId="51" xfId="0" applyFont="1" applyBorder="1" applyNumberFormat="1">
      <alignment horizontal="center" vertical="center"/>
    </xf>
    <xf numFmtId="0" fontId="23" fillId="0" borderId="51" xfId="0" applyFont="1" applyBorder="1" applyNumberFormat="1">
      <alignment horizontal="center" vertical="center"/>
    </xf>
    <xf numFmtId="0" fontId="23" fillId="43" borderId="23" xfId="0" applyFont="1" applyFill="1" applyBorder="1" applyNumberFormat="1">
      <alignment horizontal="right" vertical="center"/>
    </xf>
    <xf numFmtId="0" fontId="27" fillId="37" borderId="35" xfId="0" applyFont="1" applyFill="1" applyBorder="1" applyNumberFormat="1">
      <alignment horizontal="center" vertical="top"/>
    </xf>
    <xf numFmtId="0" fontId="27" fillId="37" borderId="35" xfId="0" applyFont="1" applyFill="1" applyBorder="1" applyNumberFormat="1">
      <alignment horizontal="left" vertical="top"/>
    </xf>
    <xf numFmtId="0" fontId="23" fillId="0" borderId="52" xfId="0" applyFont="1" applyBorder="1" applyNumberFormat="1">
      <alignment horizontal="center" vertical="center"/>
    </xf>
    <xf numFmtId="0" fontId="23" fillId="0" borderId="53" xfId="0" applyFont="1" applyBorder="1" applyNumberFormat="1">
      <alignment horizontal="center" vertical="center"/>
    </xf>
    <xf numFmtId="0" fontId="27" fillId="0" borderId="23" xfId="0" applyFont="1" applyBorder="1" applyNumberFormat="1">
      <alignment horizontal="left" vertical="top"/>
    </xf>
    <xf numFmtId="0" fontId="23" fillId="0" borderId="54" xfId="0" applyFont="1" applyBorder="1" applyNumberFormat="1">
      <alignment horizontal="center" vertical="center"/>
    </xf>
    <xf numFmtId="0" fontId="23" fillId="48" borderId="0" xfId="0" applyFont="1" applyFill="1" applyNumberFormat="1">
      <alignment horizontal="right" vertical="top" wrapText="1"/>
    </xf>
    <xf numFmtId="0" fontId="37" fillId="39" borderId="0" xfId="0" applyFont="1" applyFill="1" applyNumberFormat="1"/>
    <xf numFmtId="0" fontId="94" fillId="39" borderId="0" xfId="0" applyFont="1" applyFill="1" applyNumberFormat="1"/>
    <xf numFmtId="0" fontId="44" fillId="39" borderId="0" xfId="0" applyFont="1" applyFill="1" applyNumberFormat="1">
      <alignment horizontal="center" vertical="center" wrapText="1"/>
    </xf>
    <xf numFmtId="0" fontId="23" fillId="39" borderId="32" xfId="0" applyFont="1" applyFill="1" applyBorder="1" applyNumberFormat="1">
      <alignment horizontal="left" vertical="top" wrapText="1"/>
    </xf>
    <xf numFmtId="0" fontId="55" fillId="39" borderId="0" xfId="0" applyFont="1" applyFill="1" applyNumberFormat="1">
      <alignment vertical="center" wrapText="1"/>
    </xf>
    <xf numFmtId="0" fontId="44" fillId="39" borderId="23" xfId="0" applyFont="1" applyFill="1" applyBorder="1" applyNumberFormat="1">
      <alignment horizontal="center" vertical="center"/>
    </xf>
    <xf numFmtId="0" fontId="23" fillId="39" borderId="42" xfId="0" applyFont="1" applyFill="1" applyBorder="1" applyNumberFormat="1">
      <alignment horizontal="left" vertical="top" wrapText="1"/>
    </xf>
    <xf numFmtId="0" fontId="56" fillId="39" borderId="0" xfId="0" applyFont="1" applyFill="1" applyNumberFormat="1"/>
    <xf numFmtId="0" fontId="23" fillId="39" borderId="30" xfId="0" applyFont="1" applyFill="1" applyBorder="1" applyNumberFormat="1">
      <alignment horizontal="left" vertical="top" wrapText="1"/>
    </xf>
    <xf numFmtId="0" fontId="89" fillId="39" borderId="0" xfId="0" applyFont="1" applyFill="1" applyNumberFormat="1"/>
    <xf numFmtId="0" fontId="27" fillId="39" borderId="23" xfId="0" applyFont="1" applyFill="1" applyBorder="1" applyNumberFormat="1">
      <alignment horizontal="left" vertical="top" wrapText="1"/>
    </xf>
    <xf numFmtId="0" fontId="27" fillId="39" borderId="23" xfId="0" applyFont="1" applyFill="1" applyBorder="1" applyNumberFormat="1">
      <alignment vertical="top" wrapText="1"/>
    </xf>
    <xf numFmtId="0" fontId="37" fillId="0" borderId="42" xfId="0" applyFont="1" applyBorder="1" applyNumberFormat="1">
      <alignment horizontal="left" vertical="center" wrapText="1" indent="1"/>
    </xf>
    <xf numFmtId="0" fontId="95" fillId="0" borderId="0" xfId="0" applyFont="1" applyNumberFormat="1">
      <alignment vertical="center"/>
    </xf>
    <xf numFmtId="0" fontId="27" fillId="37" borderId="30" xfId="0" applyFont="1" applyFill="1" applyBorder="1" applyNumberFormat="1">
      <alignment horizontal="left" vertical="center" wrapText="1" indent="1"/>
    </xf>
    <xf numFmtId="0" fontId="27" fillId="0" borderId="34" xfId="0" applyFont="1" applyBorder="1" applyNumberFormat="1">
      <alignment horizontal="left" vertical="top" wrapText="1"/>
    </xf>
    <xf numFmtId="0" fontId="27" fillId="39" borderId="42" xfId="0" applyFont="1" applyFill="1" applyBorder="1" applyNumberFormat="1">
      <alignment vertical="center" wrapText="1"/>
    </xf>
    <xf numFmtId="0" fontId="44" fillId="0" borderId="45" xfId="0" applyFont="1" applyBorder="1" applyNumberFormat="1">
      <alignment horizontal="center" vertical="center" wrapText="1"/>
    </xf>
    <xf numFmtId="0" fontId="27" fillId="39" borderId="28" xfId="0" applyFont="1" applyFill="1" applyBorder="1" applyNumberFormat="1">
      <alignment vertical="center" wrapText="1"/>
    </xf>
    <xf numFmtId="0" fontId="27" fillId="0" borderId="25" xfId="0" applyFont="1" applyBorder="1" applyNumberFormat="1">
      <alignment horizontal="left" vertical="center" wrapText="1"/>
    </xf>
    <xf numFmtId="0" fontId="46" fillId="0" borderId="0" xfId="0" applyFont="1" applyNumberFormat="1">
      <alignment horizontal="center" vertical="center" wrapText="1"/>
    </xf>
    <xf numFmtId="0" fontId="27" fillId="37" borderId="34" xfId="0" applyFont="1" applyFill="1" applyBorder="1" applyNumberFormat="1">
      <alignment horizontal="left" vertical="center" wrapText="1"/>
    </xf>
    <xf numFmtId="0" fontId="93" fillId="39" borderId="0" xfId="0" applyFont="1" applyFill="1" applyNumberFormat="1">
      <alignment horizontal="center" vertical="center" wrapText="1"/>
    </xf>
    <xf numFmtId="0" fontId="28" fillId="39" borderId="0" xfId="0" applyFont="1" applyFill="1" applyNumberFormat="1"/>
    <xf numFmtId="0" fontId="27" fillId="0" borderId="0" xfId="0" applyFont="1" applyNumberFormat="1"/>
    <xf numFmtId="0" fontId="50" fillId="39" borderId="0" xfId="0" applyFont="1" applyFill="1" applyNumberFormat="1">
      <alignment horizontal="center" vertical="center"/>
    </xf>
    <xf numFmtId="0" fontId="27" fillId="39" borderId="32" xfId="0" applyFont="1" applyFill="1" applyBorder="1" applyNumberFormat="1">
      <alignment horizontal="center" vertical="center"/>
    </xf>
    <xf numFmtId="0" fontId="50" fillId="0" borderId="0" xfId="0" applyFont="1" applyNumberFormat="1">
      <alignment horizontal="center" vertical="center"/>
    </xf>
    <xf numFmtId="0" fontId="50" fillId="39" borderId="0" xfId="0" applyFont="1" applyFill="1" applyNumberFormat="1">
      <alignment horizontal="center"/>
    </xf>
    <xf numFmtId="0" fontId="47" fillId="0" borderId="0" xfId="0" applyFont="1" applyNumberFormat="1">
      <alignment vertical="top" wrapText="1"/>
    </xf>
    <xf numFmtId="0" fontId="53" fillId="0" borderId="23" xfId="0" applyFont="1" applyBorder="1" applyNumberFormat="1">
      <alignment horizontal="left" vertical="center" wrapText="1" indent="1"/>
    </xf>
    <xf numFmtId="0" fontId="54" fillId="0" borderId="32" xfId="0" applyFont="1" applyBorder="1" applyNumberFormat="1">
      <alignment horizontal="center" vertical="center" wrapText="1"/>
    </xf>
    <xf numFmtId="0" fontId="53" fillId="0" borderId="23" xfId="0" applyFont="1" applyBorder="1" applyNumberFormat="1">
      <alignment horizontal="left" vertical="top" indent="1"/>
    </xf>
    <xf numFmtId="0" fontId="27" fillId="39" borderId="0" xfId="0" applyFont="1" applyFill="1" applyNumberFormat="1">
      <alignment horizontal="center" vertical="top" wrapText="1"/>
    </xf>
    <xf numFmtId="0" fontId="44" fillId="39" borderId="23" xfId="0" applyFont="1" applyFill="1" applyBorder="1" applyNumberFormat="1">
      <alignment horizontal="center" vertical="center" wrapText="1"/>
    </xf>
    <xf numFmtId="0" fontId="23" fillId="38" borderId="21" xfId="0" applyFont="1" applyFill="1" applyBorder="1" applyNumberFormat="1">
      <alignment horizontal="left" vertical="center" wrapText="1" indent="2"/>
      <protection locked="0"/>
    </xf>
    <xf numFmtId="0" fontId="50" fillId="0" borderId="29" xfId="0" applyFont="1" applyBorder="1" applyNumberFormat="1">
      <alignment horizontal="center" vertical="center" wrapText="1"/>
    </xf>
    <xf numFmtId="0" fontId="23" fillId="37" borderId="23" xfId="0" applyFont="1" applyFill="1" applyBorder="1" applyNumberFormat="1">
      <alignment horizontal="left" vertical="top" wrapText="1" indent="1"/>
    </xf>
    <xf numFmtId="0" fontId="27" fillId="37" borderId="23" xfId="0" applyFont="1" applyFill="1" applyBorder="1" applyNumberFormat="1">
      <alignment horizontal="center" vertical="top" wrapText="1"/>
    </xf>
    <xf numFmtId="0" fontId="27" fillId="35" borderId="23" xfId="0" applyFont="1" applyFill="1" applyBorder="1" applyNumberFormat="1">
      <alignment horizontal="left" vertical="top" wrapText="1"/>
      <protection locked="0"/>
    </xf>
    <xf numFmtId="0" fontId="27" fillId="0" borderId="29" xfId="0" applyFont="1" applyBorder="1" applyNumberFormat="1">
      <alignment vertical="top" wrapText="1"/>
    </xf>
    <xf numFmtId="0" fontId="23" fillId="37" borderId="42" xfId="0" applyFont="1" applyFill="1" applyBorder="1" applyNumberFormat="1">
      <alignment horizontal="left" vertical="top" wrapText="1" indent="1"/>
    </xf>
    <xf numFmtId="0" fontId="27" fillId="37" borderId="42" xfId="0" applyFont="1" applyFill="1" applyBorder="1" applyNumberFormat="1">
      <alignment horizontal="center" vertical="top" wrapText="1"/>
    </xf>
    <xf numFmtId="0" fontId="27" fillId="35" borderId="42" xfId="0" applyFont="1" applyFill="1" applyBorder="1" applyNumberFormat="1">
      <alignment horizontal="left" vertical="top" wrapText="1"/>
      <protection locked="0"/>
    </xf>
    <xf numFmtId="0" fontId="71" fillId="0" borderId="55" xfId="0" applyFont="1" applyBorder="1" applyNumberFormat="1">
      <alignment horizontal="left" vertical="center" indent="1"/>
    </xf>
    <xf numFmtId="0" fontId="71" fillId="0" borderId="56" xfId="0" applyFont="1" applyBorder="1" applyNumberFormat="1">
      <alignment horizontal="left" vertical="center" indent="1"/>
    </xf>
    <xf numFmtId="0" fontId="23" fillId="0" borderId="56" xfId="0" applyFont="1" applyBorder="1" applyNumberFormat="1">
      <alignment horizontal="left" vertical="center" wrapText="1"/>
    </xf>
    <xf numFmtId="0" fontId="27" fillId="0" borderId="56" xfId="0" applyFont="1" applyBorder="1" applyNumberFormat="1">
      <alignment vertical="center" wrapText="1"/>
    </xf>
    <xf numFmtId="0" fontId="27" fillId="0" borderId="57" xfId="0" applyFont="1" applyBorder="1" applyNumberFormat="1">
      <alignment vertical="center" wrapText="1"/>
    </xf>
    <xf numFmtId="0" fontId="27" fillId="0" borderId="58" xfId="0" applyFont="1" applyBorder="1" applyNumberFormat="1">
      <alignment vertical="center" wrapText="1"/>
    </xf>
    <xf numFmtId="0" fontId="72" fillId="0" borderId="23" xfId="0" applyFont="1" applyBorder="1" applyNumberFormat="1">
      <alignment horizontal="center" vertical="center"/>
    </xf>
    <xf numFmtId="0" fontId="72" fillId="0" borderId="23" xfId="0" applyFont="1" applyBorder="1" applyNumberFormat="1">
      <alignment horizontal="left" vertical="center" wrapText="1" indent="1"/>
    </xf>
    <xf numFmtId="0" fontId="23" fillId="41" borderId="61" xfId="0" applyFont="1" applyFill="1" applyBorder="1" applyNumberFormat="1">
      <alignment horizontal="left" vertical="center"/>
    </xf>
    <xf numFmtId="0" fontId="27" fillId="41" borderId="61" xfId="0" applyFont="1" applyFill="1" applyBorder="1" applyNumberFormat="1">
      <alignment vertical="center" wrapText="1"/>
    </xf>
    <xf numFmtId="0" fontId="27" fillId="41" borderId="62" xfId="0" applyFont="1" applyFill="1" applyBorder="1" applyNumberFormat="1">
      <alignment vertical="center" wrapText="1"/>
    </xf>
    <xf numFmtId="0" fontId="49" fillId="0" borderId="23" xfId="0" applyFont="1" applyBorder="1" applyNumberFormat="1">
      <alignment horizontal="center" vertical="center"/>
    </xf>
    <xf numFmtId="0" fontId="49" fillId="40" borderId="23" xfId="0" applyFont="1" applyFill="1" applyBorder="1" applyNumberFormat="1">
      <alignment horizontal="left" vertical="center" wrapText="1" indent="1"/>
    </xf>
    <xf numFmtId="0" fontId="49" fillId="0" borderId="20" xfId="0" applyFont="1" applyBorder="1" applyNumberFormat="1">
      <alignment horizontal="center" vertical="center"/>
    </xf>
    <xf numFmtId="0" fontId="71" fillId="0" borderId="63" xfId="0" applyFont="1" applyBorder="1" applyNumberFormat="1">
      <alignment horizontal="left" vertical="center" indent="1"/>
    </xf>
    <xf numFmtId="0" fontId="27" fillId="0" borderId="64" xfId="0" applyFont="1" applyBorder="1" applyNumberFormat="1">
      <alignment horizontal="right" vertical="center"/>
    </xf>
    <xf numFmtId="0" fontId="27" fillId="0" borderId="64" xfId="0" applyFont="1" applyBorder="1" applyNumberFormat="1">
      <alignment horizontal="center" vertical="center"/>
    </xf>
    <xf numFmtId="0" fontId="27" fillId="0" borderId="25" xfId="0" applyFont="1" applyBorder="1" applyNumberFormat="1">
      <alignment horizontal="right" vertical="center"/>
    </xf>
    <xf numFmtId="0" fontId="27" fillId="0" borderId="20" xfId="0" applyFont="1" applyBorder="1" applyNumberFormat="1">
      <alignment horizontal="right" vertical="center"/>
    </xf>
    <xf numFmtId="0" fontId="27" fillId="43" borderId="23" xfId="0" applyFont="1" applyFill="1" applyBorder="1" applyNumberFormat="1">
      <alignment horizontal="right" vertical="center"/>
    </xf>
    <xf numFmtId="0" fontId="44" fillId="0" borderId="30" xfId="0" applyFont="1" applyBorder="1" applyNumberFormat="1">
      <alignment vertical="center" wrapText="1"/>
    </xf>
    <xf numFmtId="0" fontId="44" fillId="0" borderId="23" xfId="0" applyFont="1" applyBorder="1" applyNumberFormat="1">
      <alignment horizontal="left" vertical="center" indent="1"/>
    </xf>
    <xf numFmtId="0" fontId="27" fillId="40" borderId="23" xfId="0" applyFont="1" applyFill="1" applyBorder="1" applyNumberFormat="1">
      <alignment horizontal="left" vertical="top" wrapText="1"/>
    </xf>
    <xf numFmtId="0" fontId="23" fillId="40" borderId="23" xfId="0" applyFont="1" applyFill="1" applyBorder="1" applyNumberFormat="1">
      <alignment horizontal="left" vertical="center" wrapText="1"/>
    </xf>
    <xf numFmtId="0" fontId="48" fillId="41" borderId="21" xfId="0" applyFont="1" applyFill="1" applyBorder="1" applyNumberFormat="1">
      <alignment horizontal="left" vertical="center"/>
    </xf>
    <xf numFmtId="0" fontId="48" fillId="41" borderId="25" xfId="0" applyFont="1" applyFill="1" applyBorder="1" applyNumberFormat="1">
      <alignment horizontal="left" vertical="center"/>
    </xf>
    <xf numFmtId="0" fontId="48" fillId="41" borderId="20" xfId="0" applyFont="1" applyFill="1" applyBorder="1" applyNumberFormat="1">
      <alignment horizontal="left" vertical="center"/>
    </xf>
    <xf numFmtId="0" fontId="23" fillId="41" borderId="25" xfId="0" applyFont="1" applyFill="1" applyBorder="1" applyNumberFormat="1">
      <alignment vertical="center"/>
    </xf>
    <xf numFmtId="0" fontId="48" fillId="0" borderId="42" xfId="0" applyFont="1" applyBorder="1" applyNumberFormat="1">
      <alignment horizontal="left" vertical="center"/>
    </xf>
    <xf numFmtId="0" fontId="48" fillId="35" borderId="42" xfId="0" applyFont="1" applyFill="1" applyBorder="1" applyNumberFormat="1">
      <alignment horizontal="left" vertical="center"/>
      <protection locked="0"/>
    </xf>
    <xf numFmtId="0" fontId="48" fillId="38" borderId="42" xfId="0" applyFont="1" applyFill="1" applyBorder="1" applyNumberFormat="1">
      <alignment horizontal="left" vertical="center"/>
      <protection locked="0"/>
    </xf>
    <xf numFmtId="0" fontId="44" fillId="0" borderId="21" xfId="0" applyFont="1" applyBorder="1" applyNumberFormat="1">
      <alignment horizontal="left" vertical="center"/>
    </xf>
    <xf numFmtId="0" fontId="44" fillId="0" borderId="25" xfId="0" applyFont="1" applyBorder="1" applyNumberFormat="1">
      <alignment horizontal="left" vertical="center"/>
    </xf>
    <xf numFmtId="0" fontId="48" fillId="41" borderId="34" xfId="0" applyFont="1" applyFill="1" applyBorder="1" applyNumberFormat="1">
      <alignment horizontal="left" vertical="center"/>
    </xf>
    <xf numFmtId="0" fontId="27" fillId="0" borderId="29" xfId="0" applyFont="1" applyBorder="1" applyNumberFormat="1">
      <alignment horizontal="center" vertical="center"/>
    </xf>
    <xf numFmtId="0" fontId="27" fillId="40" borderId="32" xfId="0" applyFont="1" applyFill="1" applyBorder="1" applyNumberFormat="1">
      <alignment horizontal="left" vertical="center" wrapText="1"/>
    </xf>
    <xf numFmtId="0" fontId="27" fillId="0" borderId="42" xfId="0" applyFont="1" applyBorder="1" applyNumberFormat="1">
      <alignment horizontal="left" vertical="center" wrapText="1"/>
    </xf>
    <xf numFmtId="0" fontId="27" fillId="40" borderId="42" xfId="0" applyFont="1" applyFill="1" applyBorder="1" applyNumberFormat="1">
      <alignment horizontal="left" vertical="center" wrapText="1"/>
    </xf>
    <xf numFmtId="0" fontId="48" fillId="0" borderId="30" xfId="0" applyFont="1" applyBorder="1" applyNumberFormat="1">
      <alignment horizontal="left" vertical="center"/>
    </xf>
    <xf numFmtId="0" fontId="48" fillId="41" borderId="33" xfId="0" applyFont="1" applyFill="1" applyBorder="1" applyNumberFormat="1">
      <alignment horizontal="left" vertical="center"/>
    </xf>
    <xf numFmtId="0" fontId="48" fillId="41" borderId="26" xfId="0" applyFont="1" applyFill="1" applyBorder="1" applyNumberFormat="1">
      <alignment horizontal="left" vertical="center"/>
    </xf>
    <xf numFmtId="0" fontId="48" fillId="41" borderId="27" xfId="0" applyFont="1" applyFill="1" applyBorder="1" applyNumberFormat="1">
      <alignment horizontal="left" vertical="center"/>
    </xf>
    <xf numFmtId="0" fontId="48" fillId="41" borderId="33" xfId="0" applyFont="1" applyFill="1" applyBorder="1" applyNumberFormat="1">
      <alignment vertical="center"/>
    </xf>
    <xf numFmtId="0" fontId="33" fillId="0" borderId="23" xfId="0" applyFont="1" applyBorder="1" applyNumberFormat="1">
      <alignment vertical="top" wrapText="1"/>
    </xf>
    <xf numFmtId="0" fontId="66" fillId="0" borderId="23" xfId="0" applyFont="1" applyBorder="1" applyNumberFormat="1">
      <alignment vertical="top" wrapText="1"/>
    </xf>
    <xf numFmtId="0" fontId="33" fillId="43" borderId="23" xfId="0" applyFont="1" applyFill="1" applyBorder="1" applyNumberFormat="1">
      <alignment horizontal="center" vertical="top" wrapText="1"/>
    </xf>
    <xf numFmtId="0" fontId="66" fillId="43" borderId="23" xfId="0" applyFont="1" applyFill="1" applyBorder="1" applyNumberFormat="1">
      <alignment horizontal="right" vertical="center" wrapText="1"/>
    </xf>
    <xf numFmtId="0" fontId="66" fillId="0" borderId="23" xfId="0" applyFont="1" applyBorder="1" applyNumberFormat="1">
      <alignment horizontal="left" vertical="top" wrapText="1"/>
    </xf>
    <xf numFmtId="0" fontId="66" fillId="43" borderId="23" xfId="0" applyFont="1" applyFill="1" applyBorder="1" applyNumberFormat="1">
      <alignment horizontal="center" vertical="center" wrapText="1"/>
    </xf>
    <xf numFmtId="0" fontId="66" fillId="0" borderId="32" xfId="0" applyFont="1" applyBorder="1" applyNumberFormat="1">
      <alignment horizontal="left" vertical="top" wrapText="1"/>
    </xf>
    <xf numFmtId="0" fontId="66" fillId="0" borderId="20" xfId="0" applyFont="1" applyBorder="1" applyNumberFormat="1">
      <alignment horizontal="left" vertical="top" wrapText="1"/>
    </xf>
    <xf numFmtId="0" fontId="66" fillId="0" borderId="32" xfId="0" applyFont="1" applyBorder="1" applyNumberFormat="1">
      <alignment vertical="top" wrapText="1"/>
    </xf>
    <xf numFmtId="0" fontId="33" fillId="0" borderId="21" xfId="0" applyFont="1" applyBorder="1" applyNumberFormat="1">
      <alignment horizontal="center" vertical="center" wrapText="1"/>
    </xf>
    <xf numFmtId="0" fontId="33" fillId="0" borderId="21" xfId="0" applyFont="1" applyBorder="1" applyNumberFormat="1">
      <alignment horizontal="center" vertical="center"/>
    </xf>
    <xf numFmtId="0" fontId="33" fillId="0" borderId="23" xfId="0" applyFont="1" applyBorder="1" applyNumberFormat="1">
      <alignment vertical="center" wrapText="1"/>
    </xf>
    <xf numFmtId="0" fontId="33" fillId="0" borderId="23" xfId="0" applyFont="1" applyBorder="1" applyNumberFormat="1">
      <alignment horizontal="center" vertical="center" wrapText="1"/>
    </xf>
    <xf numFmtId="0" fontId="33" fillId="0" borderId="32" xfId="0" applyFont="1" applyBorder="1" applyNumberFormat="1">
      <alignment vertical="center" wrapText="1"/>
    </xf>
    <xf numFmtId="0" fontId="33" fillId="0" borderId="30" xfId="0" applyFont="1" applyBorder="1" applyNumberFormat="1">
      <alignment vertical="center" wrapText="1"/>
    </xf>
    <xf numFmtId="0" fontId="33" fillId="0" borderId="32" xfId="0" applyFont="1" applyBorder="1" applyNumberFormat="1">
      <alignment horizontal="center" vertical="center" wrapText="1"/>
    </xf>
    <xf numFmtId="0" fontId="66" fillId="0" borderId="42" xfId="0" applyFont="1" applyBorder="1" applyNumberFormat="1">
      <alignment horizontal="left" vertical="top" wrapText="1"/>
    </xf>
    <xf numFmtId="0" fontId="21" fillId="0" borderId="26" xfId="0" applyFont="1" applyBorder="1" applyNumberFormat="1">
      <alignment horizontal="left" vertical="center" wrapText="1" indent="1"/>
    </xf>
    <xf numFmtId="0" fontId="21" fillId="0" borderId="45" xfId="0" applyFont="1" applyBorder="1" applyNumberFormat="1">
      <alignment horizontal="left" vertical="center" wrapText="1" indent="1"/>
    </xf>
    <xf numFmtId="0" fontId="23" fillId="0" borderId="0" xfId="0" applyFont="1" applyNumberFormat="1"/>
    <xf numFmtId="0" fontId="23" fillId="0" borderId="24" xfId="0" applyFont="1" applyBorder="1" applyNumberFormat="1">
      <alignment vertical="top" wrapText="1"/>
    </xf>
    <xf numFmtId="0" fontId="21" fillId="0" borderId="74" xfId="0" applyFont="1" applyBorder="1" applyNumberFormat="1">
      <alignment vertical="top" wrapText="1"/>
    </xf>
    <xf numFmtId="0" fontId="23" fillId="0" borderId="23" xfId="0" applyFont="1" applyBorder="1" applyNumberFormat="1">
      <alignment vertical="top" wrapText="1"/>
    </xf>
    <xf numFmtId="0" fontId="31" fillId="0" borderId="24" xfId="0" applyFont="1" applyBorder="1" applyNumberFormat="1">
      <alignment vertical="center" wrapText="1"/>
    </xf>
    <xf numFmtId="0" fontId="21" fillId="0" borderId="0" xfId="0" applyFont="1" applyNumberFormat="1">
      <alignment vertical="top" wrapText="1"/>
    </xf>
    <xf numFmtId="0" fontId="27" fillId="0" borderId="24"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1" fillId="33" borderId="10" xfId="0" applyFont="1" applyFill="1" applyBorder="1" applyNumberFormat="1">
      <alignment horizontal="center" vertical="center" wrapText="1"/>
    </xf>
    <xf numFmtId="0" fontId="21" fillId="33" borderId="11" xfId="0" applyFont="1" applyFill="1" applyBorder="1" applyNumberFormat="1">
      <alignment horizontal="center" vertical="center" wrapText="1"/>
    </xf>
    <xf numFmtId="0" fontId="21" fillId="33" borderId="12" xfId="0" applyFont="1" applyFill="1" applyBorder="1" applyNumberFormat="1">
      <alignment horizontal="center" vertical="center" wrapText="1"/>
    </xf>
    <xf numFmtId="0" fontId="21" fillId="34" borderId="13" xfId="0" applyFont="1" applyFill="1" applyBorder="1" applyNumberFormat="1">
      <alignment horizontal="right" vertical="center" wrapText="1" indent="1"/>
    </xf>
    <xf numFmtId="0" fontId="21" fillId="34" borderId="14" xfId="0" applyFont="1" applyFill="1" applyBorder="1" applyNumberFormat="1">
      <alignment horizontal="right" vertical="center" wrapText="1" indent="1"/>
    </xf>
    <xf numFmtId="0" fontId="22" fillId="0" borderId="13" xfId="0" applyFont="1" applyBorder="1" applyNumberFormat="1">
      <alignment wrapText="1"/>
    </xf>
    <xf numFmtId="0" fontId="23" fillId="35" borderId="15" xfId="0" applyFont="1" applyFill="1" applyBorder="1" applyNumberFormat="1">
      <alignment horizontal="center" vertical="center" wrapText="1"/>
    </xf>
    <xf numFmtId="0" fontId="24" fillId="0" borderId="13" xfId="0" applyFont="1" applyBorder="1" applyNumberFormat="1">
      <alignment vertical="center" wrapText="1"/>
    </xf>
    <xf numFmtId="0" fontId="23" fillId="36" borderId="15" xfId="0" applyFont="1" applyFill="1" applyBorder="1" applyNumberFormat="1">
      <alignment horizontal="center" vertical="center" wrapText="1"/>
    </xf>
    <xf numFmtId="0" fontId="24" fillId="0" borderId="13" xfId="0" applyFont="1" applyBorder="1" applyNumberFormat="1">
      <alignment horizontal="left" vertical="center" wrapText="1"/>
    </xf>
    <xf numFmtId="0" fontId="23" fillId="37" borderId="15" xfId="0" applyFont="1" applyFill="1" applyBorder="1" applyNumberFormat="1">
      <alignment horizontal="center" vertical="center" wrapText="1"/>
    </xf>
    <xf numFmtId="0" fontId="23" fillId="38" borderId="15" xfId="0" applyFont="1" applyFill="1" applyBorder="1" applyNumberFormat="1">
      <alignment horizontal="center" vertical="center" wrapText="1"/>
    </xf>
    <xf numFmtId="0" fontId="21" fillId="34" borderId="0" xfId="0" applyFont="1" applyFill="1" applyNumberFormat="1">
      <alignment horizontal="right" vertical="center" wrapText="1" indent="1"/>
    </xf>
    <xf numFmtId="0" fontId="25" fillId="0" borderId="13" xfId="0" applyFont="1" applyBorder="1" applyNumberFormat="1">
      <alignment horizontal="left" vertical="center" wrapText="1"/>
    </xf>
    <xf numFmtId="0" fontId="25" fillId="0" borderId="16" xfId="0" applyFont="1" applyBorder="1" applyNumberFormat="1">
      <alignment horizontal="left" vertical="center" wrapText="1"/>
    </xf>
    <xf numFmtId="0" fontId="21" fillId="34" borderId="15" xfId="0" applyFont="1" applyFill="1" applyBorder="1" applyNumberFormat="1">
      <alignment horizontal="right" vertical="center" wrapText="1" indent="1"/>
    </xf>
    <xf numFmtId="0" fontId="21" fillId="34" borderId="17" xfId="0" applyFont="1" applyFill="1" applyBorder="1" applyNumberFormat="1">
      <alignment horizontal="right" vertical="center" wrapText="1" indent="1"/>
    </xf>
    <xf numFmtId="0" fontId="24" fillId="0" borderId="13" xfId="0" applyFont="1" applyBorder="1" applyNumberFormat="1">
      <alignment wrapText="1"/>
    </xf>
    <xf numFmtId="0" fontId="24" fillId="0" borderId="0" xfId="0" applyFont="1" applyNumberFormat="1">
      <alignment vertical="center" wrapText="1"/>
    </xf>
    <xf numFmtId="0" fontId="24" fillId="0" borderId="0" xfId="0" applyFont="1" applyNumberFormat="1">
      <alignment vertical="top" wrapText="1"/>
    </xf>
    <xf numFmtId="0" fontId="21" fillId="34" borderId="18" xfId="0" applyFont="1" applyFill="1" applyBorder="1" applyNumberFormat="1">
      <alignment horizontal="right" vertical="center" wrapText="1" indent="1"/>
    </xf>
    <xf numFmtId="0" fontId="21" fillId="34" borderId="19" xfId="0" applyFont="1" applyFill="1" applyBorder="1" applyNumberFormat="1">
      <alignment horizontal="right" vertical="center" wrapText="1" indent="1"/>
    </xf>
    <xf numFmtId="0" fontId="22" fillId="0" borderId="18" xfId="0" applyFont="1" applyBorder="1" applyNumberFormat="1">
      <alignment wrapText="1"/>
    </xf>
    <xf numFmtId="0" fontId="22" fillId="0" borderId="19" xfId="0" applyFont="1" applyBorder="1" applyNumberFormat="1">
      <alignment wrapText="1"/>
    </xf>
    <xf numFmtId="0" fontId="22" fillId="0" borderId="19" xfId="0" applyFont="1" applyBorder="1" applyNumberFormat="1">
      <alignment vertical="center" wrapText="1"/>
    </xf>
    <xf numFmtId="0" fontId="0" fillId="0" borderId="0" xfId="0" applyFont="1" applyNumberFormat="1">
      <alignment vertical="top"/>
    </xf>
    <xf numFmtId="0" fontId="26" fillId="0" borderId="0" xfId="0" applyFont="1" applyNumberFormat="1">
      <alignment vertical="center" wrapText="1"/>
    </xf>
    <xf numFmtId="0" fontId="27" fillId="0" borderId="0" xfId="0" applyFont="1" applyNumberFormat="1">
      <alignment horizontal="left" vertical="top" indent="1"/>
    </xf>
    <xf numFmtId="0" fontId="28" fillId="0" borderId="0" xfId="0" applyFont="1" applyNumberFormat="1">
      <alignment vertical="center" wrapText="1"/>
    </xf>
    <xf numFmtId="0" fontId="23" fillId="0" borderId="0" xfId="0" applyFont="1" applyNumberFormat="1">
      <alignment horizontal="left" vertical="center" indent="1"/>
    </xf>
    <xf numFmtId="0" fontId="27" fillId="0" borderId="0" xfId="0" applyFont="1" applyNumberFormat="1">
      <alignment vertical="center" wrapText="1"/>
    </xf>
    <xf numFmtId="0" fontId="29" fillId="39" borderId="0" xfId="0" applyFont="1" applyFill="1" applyNumberFormat="1">
      <alignment vertical="center" wrapText="1"/>
    </xf>
    <xf numFmtId="0" fontId="29" fillId="0" borderId="0" xfId="0" applyFont="1" applyNumberFormat="1">
      <alignment vertical="center" wrapText="1"/>
    </xf>
    <xf numFmtId="0" fontId="30" fillId="39" borderId="0" xfId="0" applyFont="1" applyFill="1" applyNumberFormat="1">
      <alignment vertical="center" wrapText="1"/>
    </xf>
    <xf numFmtId="0" fontId="27" fillId="0" borderId="20" xfId="0" applyFont="1" applyBorder="1" applyNumberFormat="1">
      <alignment horizontal="center" vertical="center" wrapText="1"/>
    </xf>
    <xf numFmtId="0" fontId="27" fillId="0" borderId="21" xfId="0" applyFont="1" applyBorder="1" applyNumberFormat="1">
      <alignment horizontal="center" vertical="center" wrapText="1"/>
    </xf>
    <xf numFmtId="0" fontId="31" fillId="39" borderId="0" xfId="0" applyFont="1" applyFill="1" applyNumberFormat="1">
      <alignment vertical="center" wrapText="1"/>
    </xf>
    <xf numFmtId="0" fontId="29" fillId="39" borderId="0" xfId="0" applyFont="1" applyFill="1" applyNumberFormat="1">
      <alignment horizontal="right" vertical="center" wrapText="1" indent="1"/>
    </xf>
    <xf numFmtId="0" fontId="32" fillId="39" borderId="0" xfId="0" applyFont="1" applyFill="1" applyNumberFormat="1">
      <alignment horizontal="center" vertical="center" wrapText="1"/>
    </xf>
    <xf numFmtId="0" fontId="27" fillId="39" borderId="22" xfId="0" applyFont="1" applyFill="1" applyBorder="1" applyNumberFormat="1">
      <alignment horizontal="right" vertical="center" wrapText="1" indent="1"/>
    </xf>
    <xf numFmtId="0" fontId="23" fillId="37" borderId="23" xfId="0" applyFont="1" applyFill="1" applyBorder="1" applyNumberFormat="1">
      <alignment horizontal="left" vertical="center" wrapText="1" indent="1"/>
    </xf>
    <xf numFmtId="0" fontId="34" fillId="39" borderId="0" xfId="0" applyFont="1" applyFill="1" applyNumberFormat="1">
      <alignment horizontal="center" vertical="center" wrapText="1"/>
    </xf>
    <xf numFmtId="0" fontId="29" fillId="39" borderId="0" xfId="0" applyFont="1" applyFill="1" applyNumberFormat="1">
      <alignment horizontal="left" vertical="center" wrapText="1" indent="1"/>
    </xf>
    <xf numFmtId="0" fontId="27" fillId="39" borderId="0" xfId="0" applyFont="1" applyFill="1" applyNumberFormat="1">
      <alignment horizontal="center" vertical="center" wrapText="1"/>
    </xf>
    <xf numFmtId="0" fontId="27" fillId="38" borderId="23" xfId="0" applyFont="1" applyFill="1" applyBorder="1" applyNumberFormat="1">
      <alignment horizontal="left" vertical="top" wrapText="1" indent="1"/>
      <protection locked="0"/>
    </xf>
    <xf numFmtId="0" fontId="27" fillId="0" borderId="0" xfId="0" applyFont="1" applyNumberFormat="1">
      <alignment horizontal="left" vertical="center" wrapText="1"/>
    </xf>
    <xf numFmtId="0" fontId="36" fillId="0" borderId="0" xfId="0" applyFont="1" applyNumberFormat="1">
      <alignment horizontal="left" vertical="center" indent="1"/>
    </xf>
    <xf numFmtId="0" fontId="37" fillId="0" borderId="0" xfId="0" applyFont="1" applyNumberFormat="1">
      <alignment vertical="center" wrapText="1"/>
    </xf>
    <xf numFmtId="0" fontId="27" fillId="39" borderId="0" xfId="0" applyFont="1" applyFill="1" applyNumberFormat="1">
      <alignment vertical="center" wrapText="1"/>
    </xf>
    <xf numFmtId="0" fontId="23" fillId="38" borderId="23" xfId="0" applyFont="1" applyFill="1" applyBorder="1" applyNumberFormat="1">
      <alignment horizontal="left" vertical="center" wrapText="1" indent="1"/>
      <protection locked="0"/>
    </xf>
    <xf numFmtId="0" fontId="23" fillId="39" borderId="0" xfId="0" applyFont="1" applyFill="1" applyNumberFormat="1">
      <alignment horizontal="right" vertical="center" wrapText="1" indent="1"/>
    </xf>
    <xf numFmtId="0" fontId="38" fillId="0" borderId="0" xfId="0" applyFont="1" applyNumberFormat="1">
      <alignment horizontal="left" vertical="center" wrapText="1"/>
    </xf>
    <xf numFmtId="0" fontId="27" fillId="39" borderId="0" xfId="0" applyFont="1" applyFill="1" applyNumberFormat="1">
      <alignment horizontal="right" vertical="center" wrapText="1" indent="1"/>
    </xf>
    <xf numFmtId="0" fontId="27" fillId="0" borderId="0" xfId="0" applyFont="1" applyNumberFormat="1">
      <alignment horizontal="center" vertical="center" wrapText="1"/>
    </xf>
    <xf numFmtId="0" fontId="38" fillId="0" borderId="0" xfId="0" applyFont="1" applyNumberFormat="1">
      <alignment vertical="center" wrapText="1"/>
    </xf>
    <xf numFmtId="0" fontId="23" fillId="39" borderId="0" xfId="0" applyFont="1" applyFill="1" applyNumberFormat="1">
      <alignment horizontal="left" vertical="center" wrapText="1" indent="1"/>
    </xf>
    <xf numFmtId="0" fontId="39" fillId="39" borderId="0" xfId="0" applyFont="1" applyFill="1" applyNumberFormat="1">
      <alignment horizontal="center" vertical="center" wrapText="1"/>
    </xf>
    <xf numFmtId="0" fontId="23" fillId="39" borderId="22" xfId="0" applyFont="1" applyFill="1" applyBorder="1" applyNumberFormat="1">
      <alignment horizontal="right" vertical="center" wrapText="1" indent="1"/>
    </xf>
    <xf numFmtId="0" fontId="27" fillId="38" borderId="23" xfId="0" applyFont="1" applyFill="1" applyBorder="1" applyNumberFormat="1">
      <alignment horizontal="left" vertical="center" wrapText="1" indent="1"/>
      <protection locked="0"/>
    </xf>
    <xf numFmtId="0" fontId="40" fillId="39" borderId="0" xfId="0" applyFont="1" applyFill="1" applyNumberFormat="1">
      <alignment horizontal="right" vertical="center" wrapText="1" indent="1"/>
    </xf>
    <xf numFmtId="0" fontId="40" fillId="39" borderId="0" xfId="0" applyFont="1" applyFill="1" applyNumberFormat="1">
      <alignment horizontal="left" vertical="center" wrapText="1" indent="1"/>
    </xf>
    <xf numFmtId="0" fontId="27" fillId="40" borderId="23" xfId="0" applyFont="1" applyFill="1" applyBorder="1" applyNumberFormat="1">
      <alignment horizontal="left" vertical="center" wrapText="1" indent="1"/>
    </xf>
    <xf numFmtId="0" fontId="27" fillId="38" borderId="23" xfId="0" applyFont="1" applyFill="1" applyBorder="1" applyNumberFormat="1">
      <alignment horizontal="left" vertical="center" wrapText="1" indent="1"/>
    </xf>
    <xf numFmtId="0" fontId="27" fillId="0" borderId="0" xfId="0" applyFont="1" applyNumberFormat="1">
      <alignment horizontal="left" vertical="center" wrapText="1" indent="4"/>
    </xf>
    <xf numFmtId="0" fontId="33" fillId="0" borderId="0" xfId="0" applyFont="1" applyNumberFormat="1">
      <alignment horizontal="left" vertical="center" wrapText="1"/>
    </xf>
    <xf numFmtId="0" fontId="28" fillId="0" borderId="0" xfId="0" applyFont="1" applyNumberFormat="1">
      <alignment horizontal="left" vertical="center" wrapText="1"/>
    </xf>
    <xf numFmtId="0" fontId="43" fillId="0" borderId="0" xfId="0" applyFont="1" applyNumberFormat="1">
      <alignment vertical="center" wrapText="1"/>
    </xf>
    <xf numFmtId="0" fontId="28" fillId="0" borderId="0" xfId="0" applyFont="1" applyNumberFormat="1">
      <alignment horizontal="center" vertical="center" wrapText="1"/>
    </xf>
    <xf numFmtId="0" fontId="44" fillId="0" borderId="0" xfId="0" applyFont="1" applyNumberFormat="1">
      <alignment horizontal="left" vertical="center" indent="1"/>
    </xf>
    <xf numFmtId="0" fontId="44" fillId="0" borderId="0" xfId="0" applyFont="1" applyNumberFormat="1">
      <alignment horizontal="center" vertical="center" wrapText="1"/>
    </xf>
    <xf numFmtId="0" fontId="44" fillId="0" borderId="0" xfId="0" applyFont="1" applyNumberFormat="1">
      <alignment horizontal="left" vertical="center" wrapText="1" indent="1"/>
    </xf>
    <xf numFmtId="0" fontId="44" fillId="0" borderId="0" xfId="0" applyFont="1" applyNumberFormat="1">
      <alignment vertical="center" wrapText="1"/>
    </xf>
    <xf numFmtId="0" fontId="45" fillId="0" borderId="0" xfId="0" applyFont="1" applyNumberFormat="1">
      <alignment vertical="center" wrapText="1"/>
    </xf>
    <xf numFmtId="0" fontId="46" fillId="0" borderId="0" xfId="0" applyFont="1" applyNumberFormat="1">
      <alignment vertical="center" wrapText="1"/>
    </xf>
    <xf numFmtId="0" fontId="27" fillId="0" borderId="25" xfId="0" applyFont="1" applyBorder="1" applyNumberFormat="1">
      <alignment horizontal="left" vertical="center" wrapText="1" indent="1"/>
    </xf>
    <xf numFmtId="0" fontId="27" fillId="0" borderId="25" xfId="0" applyFont="1" applyBorder="1" applyNumberFormat="1">
      <alignment horizontal="center" vertical="center" wrapText="1"/>
    </xf>
    <xf numFmtId="0" fontId="44" fillId="0" borderId="28" xfId="0" applyFont="1" applyBorder="1" applyNumberFormat="1">
      <alignment vertical="center"/>
    </xf>
    <xf numFmtId="0" fontId="44" fillId="0" borderId="0" xfId="0" applyFont="1" applyNumberFormat="1">
      <alignment vertical="center"/>
    </xf>
    <xf numFmtId="0" fontId="27" fillId="0" borderId="23" xfId="0" applyFont="1" applyBorder="1" applyNumberFormat="1">
      <alignment horizontal="center" vertical="center" wrapText="1"/>
    </xf>
    <xf numFmtId="0" fontId="44" fillId="0" borderId="23" xfId="0" applyFont="1" applyBorder="1" applyNumberFormat="1">
      <alignment horizontal="center" vertical="center" wrapText="1"/>
    </xf>
    <xf numFmtId="0" fontId="47" fillId="0" borderId="29" xfId="0" applyFont="1" applyBorder="1" applyNumberFormat="1">
      <alignment vertical="top" wrapText="1"/>
    </xf>
    <xf numFmtId="0" fontId="27" fillId="0" borderId="30" xfId="0" applyFont="1" applyBorder="1" applyNumberFormat="1">
      <alignment horizontal="center" vertical="center" wrapText="1"/>
    </xf>
    <xf numFmtId="0" fontId="44" fillId="0" borderId="30" xfId="0" applyFont="1" applyBorder="1" applyNumberFormat="1">
      <alignment horizontal="center" vertical="center" wrapText="1"/>
    </xf>
    <xf numFmtId="0" fontId="27" fillId="0" borderId="31" xfId="0" applyFont="1" applyBorder="1" applyNumberFormat="1">
      <alignment vertical="center" wrapText="1"/>
    </xf>
    <xf numFmtId="0" fontId="49" fillId="0" borderId="0" xfId="0" applyFont="1" applyNumberFormat="1">
      <alignment vertical="center" wrapText="1"/>
    </xf>
    <xf numFmtId="0" fontId="50" fillId="0" borderId="0" xfId="0" applyFont="1" applyNumberFormat="1">
      <alignment horizontal="center" vertical="center" wrapText="1"/>
    </xf>
    <xf numFmtId="0" fontId="51" fillId="0" borderId="0" xfId="0" applyFont="1" applyNumberFormat="1">
      <alignment vertical="center"/>
    </xf>
    <xf numFmtId="0" fontId="23" fillId="0" borderId="0" xfId="0" applyFont="1" applyNumberFormat="1">
      <alignment vertical="center"/>
    </xf>
    <xf numFmtId="0" fontId="27" fillId="0" borderId="27" xfId="0" applyFont="1" applyBorder="1" applyNumberFormat="1">
      <alignment horizontal="left" vertical="center" wrapText="1" indent="1"/>
    </xf>
    <xf numFmtId="0" fontId="27" fillId="0" borderId="32" xfId="0" applyFont="1" applyBorder="1" applyNumberFormat="1">
      <alignment horizontal="left" vertical="center" wrapText="1" indent="1"/>
    </xf>
    <xf numFmtId="0" fontId="27" fillId="0" borderId="33" xfId="0" applyFont="1" applyBorder="1" applyNumberFormat="1">
      <alignment horizontal="left" vertical="center" wrapText="1" indent="1"/>
    </xf>
    <xf numFmtId="0" fontId="27" fillId="0" borderId="34" xfId="0" applyFont="1" applyBorder="1" applyNumberFormat="1">
      <alignment horizontal="left" vertical="center" indent="1"/>
    </xf>
    <xf numFmtId="0" fontId="27" fillId="0" borderId="30" xfId="0" applyFont="1" applyBorder="1" applyNumberFormat="1">
      <alignment horizontal="left" vertical="center" indent="1"/>
    </xf>
    <xf numFmtId="0" fontId="27" fillId="0" borderId="35" xfId="0" applyFont="1" applyBorder="1" applyNumberFormat="1">
      <alignment horizontal="left" vertical="center" indent="1"/>
    </xf>
    <xf numFmtId="0" fontId="52" fillId="0" borderId="0" xfId="0" applyFont="1" applyNumberFormat="1">
      <alignment vertical="center"/>
    </xf>
    <xf numFmtId="0" fontId="23" fillId="0" borderId="0" xfId="0" applyFont="1" applyNumberFormat="1">
      <alignment horizontal="left" vertical="center" wrapText="1" indent="2"/>
    </xf>
    <xf numFmtId="0" fontId="27" fillId="42" borderId="0" xfId="0" applyFont="1" applyFill="1" applyNumberFormat="1">
      <alignment horizontal="center" vertical="center" wrapText="1"/>
    </xf>
    <xf numFmtId="0" fontId="53" fillId="0" borderId="33" xfId="0" applyFont="1" applyBorder="1" applyNumberFormat="1">
      <alignment horizontal="center" vertical="center" wrapText="1"/>
    </xf>
    <xf numFmtId="0" fontId="53" fillId="0" borderId="26" xfId="0" applyFont="1" applyBorder="1" applyNumberFormat="1">
      <alignment horizontal="center" vertical="center" wrapText="1"/>
    </xf>
    <xf numFmtId="0" fontId="53" fillId="0" borderId="23" xfId="0" applyFont="1" applyBorder="1" applyNumberFormat="1">
      <alignment horizontal="center" vertical="center" wrapText="1"/>
    </xf>
    <xf numFmtId="0" fontId="27" fillId="0" borderId="36" xfId="0" applyFont="1" applyBorder="1" applyNumberFormat="1">
      <alignment horizontal="center" vertical="center" wrapText="1"/>
    </xf>
    <xf numFmtId="0" fontId="27" fillId="0" borderId="37" xfId="0" applyFont="1" applyBorder="1" applyNumberFormat="1">
      <alignment horizontal="center" vertical="center" wrapText="1"/>
    </xf>
    <xf numFmtId="0" fontId="37" fillId="0" borderId="28" xfId="0" applyFont="1" applyBorder="1" applyNumberFormat="1">
      <alignment vertical="center"/>
    </xf>
    <xf numFmtId="0" fontId="27" fillId="41" borderId="21" xfId="0" applyFont="1" applyFill="1" applyBorder="1" applyNumberFormat="1">
      <alignment horizontal="center" vertical="center" wrapText="1"/>
    </xf>
    <xf numFmtId="0" fontId="23" fillId="41" borderId="20" xfId="0" applyFont="1" applyFill="1" applyBorder="1" applyNumberFormat="1">
      <alignment vertical="center"/>
    </xf>
    <xf numFmtId="0" fontId="27" fillId="40" borderId="32" xfId="0" applyFont="1" applyFill="1" applyBorder="1" applyNumberFormat="1">
      <alignment horizontal="left" vertical="center" wrapText="1" indent="2"/>
    </xf>
    <xf numFmtId="0" fontId="27" fillId="0" borderId="41" xfId="0" applyFont="1" applyBorder="1" applyNumberFormat="1">
      <alignment horizontal="center" vertical="center" wrapText="1"/>
    </xf>
    <xf numFmtId="0" fontId="27" fillId="40" borderId="32" xfId="0" applyFont="1" applyFill="1" applyBorder="1" applyNumberFormat="1">
      <alignment horizontal="left" vertical="center" wrapText="1" indent="1"/>
    </xf>
    <xf numFmtId="0" fontId="27" fillId="0" borderId="0" xfId="0" applyFont="1" applyNumberFormat="1">
      <alignment vertical="center"/>
    </xf>
    <xf numFmtId="0" fontId="37" fillId="0" borderId="0" xfId="0" applyFont="1" applyNumberFormat="1">
      <alignment vertical="center"/>
    </xf>
    <xf numFmtId="0" fontId="47" fillId="0" borderId="23" xfId="0" applyFont="1" applyBorder="1" applyNumberFormat="1">
      <alignment horizontal="center" vertical="center" wrapText="1"/>
    </xf>
    <xf numFmtId="0" fontId="27" fillId="40" borderId="42" xfId="0" applyFont="1" applyFill="1" applyBorder="1" applyNumberFormat="1">
      <alignment horizontal="left" vertical="center" wrapText="1" indent="2"/>
    </xf>
    <xf numFmtId="0" fontId="27" fillId="40" borderId="30" xfId="0" applyFont="1" applyFill="1" applyBorder="1" applyNumberFormat="1">
      <alignment horizontal="left" vertical="center" wrapText="1" indent="1"/>
    </xf>
    <xf numFmtId="0" fontId="27" fillId="40" borderId="30" xfId="0" applyFont="1" applyFill="1" applyBorder="1" applyNumberFormat="1">
      <alignment horizontal="left" vertical="center" wrapText="1" indent="2"/>
    </xf>
    <xf numFmtId="0" fontId="53" fillId="42" borderId="0" xfId="0" applyFont="1" applyFill="1" applyNumberFormat="1">
      <alignment vertical="top"/>
    </xf>
    <xf numFmtId="0" fontId="27" fillId="0" borderId="27" xfId="0" applyFont="1" applyBorder="1" applyNumberFormat="1">
      <alignment horizontal="left" vertical="top" wrapText="1" indent="1"/>
    </xf>
    <xf numFmtId="0" fontId="27" fillId="0" borderId="32" xfId="0" applyFont="1" applyBorder="1" applyNumberFormat="1">
      <alignment horizontal="left" vertical="top" wrapText="1" indent="1"/>
    </xf>
    <xf numFmtId="0" fontId="27" fillId="0" borderId="33" xfId="0" applyFont="1" applyBorder="1" applyNumberFormat="1">
      <alignment horizontal="left" vertical="top" wrapText="1" indent="1"/>
    </xf>
    <xf numFmtId="0" fontId="27" fillId="0" borderId="45" xfId="0" applyFont="1" applyBorder="1" applyNumberFormat="1">
      <alignment horizontal="left" vertical="center" indent="1"/>
    </xf>
    <xf numFmtId="0" fontId="55" fillId="0" borderId="29" xfId="0" applyFont="1" applyBorder="1" applyNumberFormat="1">
      <alignment horizontal="left" vertical="center" wrapText="1" indent="1"/>
    </xf>
    <xf numFmtId="0" fontId="55" fillId="0" borderId="42" xfId="0" applyFont="1" applyBorder="1" applyNumberFormat="1">
      <alignment horizontal="left" vertical="center" wrapText="1" indent="1"/>
    </xf>
    <xf numFmtId="0" fontId="55" fillId="0" borderId="28" xfId="0" applyFont="1" applyBorder="1" applyNumberFormat="1">
      <alignment horizontal="left" vertical="center" wrapText="1" indent="1"/>
    </xf>
    <xf numFmtId="0" fontId="56" fillId="0" borderId="0" xfId="0" applyFont="1" applyNumberFormat="1">
      <alignment vertical="center"/>
    </xf>
    <xf numFmtId="0" fontId="23" fillId="0" borderId="23" xfId="0" applyFont="1" applyBorder="1" applyNumberFormat="1">
      <alignment horizontal="center" vertical="center" wrapText="1"/>
    </xf>
    <xf numFmtId="0" fontId="44" fillId="0" borderId="23" xfId="0" applyFont="1" applyBorder="1" applyNumberFormat="1">
      <alignment horizontal="center" vertical="center"/>
    </xf>
    <xf numFmtId="0" fontId="23" fillId="0" borderId="23" xfId="0" applyFont="1" applyBorder="1" applyNumberFormat="1">
      <alignment horizontal="center" vertical="center"/>
    </xf>
    <xf numFmtId="0" fontId="23" fillId="0" borderId="23" xfId="0" applyFont="1" applyBorder="1" applyNumberFormat="1">
      <alignment horizontal="center" vertical="top"/>
    </xf>
    <xf numFmtId="0" fontId="27" fillId="0" borderId="23" xfId="0" applyFont="1" applyBorder="1" applyNumberFormat="1">
      <alignment horizontal="left" vertical="top" wrapText="1"/>
    </xf>
    <xf numFmtId="0" fontId="27" fillId="40" borderId="32" xfId="0" applyFont="1" applyFill="1" applyBorder="1" applyNumberFormat="1">
      <alignment horizontal="center" vertical="top" wrapText="1"/>
    </xf>
    <xf numFmtId="0" fontId="23" fillId="0" borderId="33" xfId="0" applyFont="1" applyBorder="1" applyNumberFormat="1">
      <alignment horizontal="center" vertical="center"/>
    </xf>
    <xf numFmtId="0" fontId="23" fillId="0" borderId="26" xfId="0" applyFont="1" applyBorder="1" applyNumberFormat="1">
      <alignment horizontal="center" vertical="center"/>
    </xf>
    <xf numFmtId="0" fontId="23" fillId="0" borderId="26" xfId="0" applyFont="1" applyBorder="1" applyNumberFormat="1">
      <alignment horizontal="left" vertical="center" wrapText="1"/>
    </xf>
    <xf numFmtId="0" fontId="27" fillId="0" borderId="0" xfId="0" applyFont="1" applyNumberFormat="1">
      <alignment horizontal="left" vertical="center" indent="1"/>
    </xf>
    <xf numFmtId="0" fontId="27" fillId="40" borderId="42" xfId="0" applyFont="1" applyFill="1" applyBorder="1" applyNumberFormat="1">
      <alignment horizontal="center" vertical="top" wrapText="1"/>
    </xf>
    <xf numFmtId="0" fontId="23" fillId="0" borderId="28" xfId="0" applyFont="1" applyBorder="1" applyNumberFormat="1">
      <alignment horizontal="center" vertical="center"/>
    </xf>
    <xf numFmtId="0" fontId="48" fillId="0" borderId="29" xfId="0" applyFont="1" applyBorder="1" applyNumberFormat="1">
      <alignment horizontal="left" vertical="center"/>
    </xf>
    <xf numFmtId="0" fontId="27" fillId="40" borderId="30" xfId="0" applyFont="1" applyFill="1" applyBorder="1" applyNumberFormat="1">
      <alignment horizontal="center" vertical="top" wrapText="1"/>
    </xf>
    <xf numFmtId="0" fontId="48" fillId="0" borderId="35" xfId="0" applyFont="1" applyBorder="1" applyNumberFormat="1">
      <alignment horizontal="left" vertical="center"/>
    </xf>
    <xf numFmtId="0" fontId="48" fillId="0" borderId="45" xfId="0" applyFont="1" applyBorder="1" applyNumberFormat="1">
      <alignment horizontal="left" vertical="center"/>
    </xf>
    <xf numFmtId="0" fontId="23" fillId="0" borderId="45" xfId="0" applyFont="1" applyBorder="1" applyNumberFormat="1">
      <alignment vertical="center"/>
    </xf>
    <xf numFmtId="0" fontId="48" fillId="0" borderId="34" xfId="0" applyFont="1" applyBorder="1" applyNumberFormat="1">
      <alignment horizontal="left" vertical="center"/>
    </xf>
    <xf numFmtId="0" fontId="27" fillId="38" borderId="23" xfId="0" applyFont="1" applyFill="1" applyBorder="1" applyNumberFormat="1">
      <alignment horizontal="left" vertical="top" wrapText="1"/>
      <protection locked="0"/>
    </xf>
    <xf numFmtId="0" fontId="23" fillId="38" borderId="23" xfId="0" applyFont="1" applyFill="1" applyBorder="1" applyNumberFormat="1">
      <alignment horizontal="left" vertical="top"/>
      <protection locked="0"/>
    </xf>
    <xf numFmtId="0" fontId="23" fillId="0" borderId="32" xfId="0" applyFont="1" applyBorder="1" applyNumberFormat="1">
      <alignment horizontal="center" vertical="top"/>
    </xf>
    <xf numFmtId="0" fontId="27" fillId="0" borderId="32" xfId="0" applyFont="1" applyBorder="1" applyNumberFormat="1">
      <alignment horizontal="left" vertical="top" wrapText="1"/>
    </xf>
    <xf numFmtId="0" fontId="23" fillId="0" borderId="42" xfId="0" applyFont="1" applyBorder="1" applyNumberFormat="1">
      <alignment horizontal="center" vertical="top"/>
    </xf>
    <xf numFmtId="0" fontId="27" fillId="0" borderId="42" xfId="0" applyFont="1" applyBorder="1" applyNumberFormat="1">
      <alignment horizontal="left" vertical="top" wrapText="1"/>
    </xf>
    <xf numFmtId="0" fontId="23" fillId="0" borderId="30" xfId="0" applyFont="1" applyBorder="1" applyNumberFormat="1">
      <alignment horizontal="center" vertical="top"/>
    </xf>
    <xf numFmtId="0" fontId="27" fillId="0" borderId="30" xfId="0" applyFont="1" applyBorder="1" applyNumberFormat="1">
      <alignment horizontal="left" vertical="top" wrapText="1"/>
    </xf>
    <xf numFmtId="0" fontId="23" fillId="0" borderId="0" xfId="0" applyFont="1" applyNumberFormat="1">
      <alignment horizontal="left" vertical="top" wrapText="1"/>
    </xf>
    <xf numFmtId="0" fontId="23" fillId="0" borderId="0" xfId="0" applyFont="1" applyNumberFormat="1" quotePrefix="1">
      <alignment horizontal="left" vertical="top" wrapText="1" indent="1"/>
    </xf>
    <xf numFmtId="0" fontId="27" fillId="0" borderId="26" xfId="0" applyFont="1" applyBorder="1" applyNumberFormat="1">
      <alignment horizontal="left" vertical="center" wrapText="1" indent="1"/>
    </xf>
    <xf numFmtId="0" fontId="27" fillId="0" borderId="45" xfId="0" applyFont="1" applyBorder="1" applyNumberFormat="1">
      <alignment horizontal="left" vertical="center" wrapText="1" indent="1"/>
    </xf>
    <xf numFmtId="0" fontId="27" fillId="0" borderId="33" xfId="0" applyFont="1" applyBorder="1" applyNumberFormat="1">
      <alignment horizontal="center" vertical="center" wrapText="1"/>
    </xf>
    <xf numFmtId="0" fontId="27" fillId="0" borderId="27" xfId="0" applyFont="1" applyBorder="1" applyNumberFormat="1">
      <alignment horizontal="center" vertical="center" wrapText="1"/>
    </xf>
    <xf numFmtId="0" fontId="27" fillId="0" borderId="42" xfId="0" applyFont="1" applyBorder="1" applyNumberFormat="1">
      <alignment horizontal="center" vertical="center" wrapText="1"/>
    </xf>
    <xf numFmtId="0" fontId="27" fillId="0" borderId="32" xfId="0" applyFont="1" applyBorder="1" applyNumberFormat="1">
      <alignment horizontal="center" vertical="center" wrapText="1"/>
    </xf>
    <xf numFmtId="0" fontId="27" fillId="0" borderId="28" xfId="0" applyFont="1" applyBorder="1" applyNumberFormat="1">
      <alignment horizontal="center" vertical="center" wrapText="1"/>
    </xf>
    <xf numFmtId="0" fontId="27" fillId="0" borderId="29" xfId="0" applyFont="1" applyBorder="1" applyNumberFormat="1">
      <alignment horizontal="center" vertical="center" wrapText="1"/>
    </xf>
    <xf numFmtId="0" fontId="27" fillId="0" borderId="35" xfId="0" applyFont="1" applyBorder="1" applyNumberFormat="1">
      <alignment horizontal="center" vertical="center" wrapText="1"/>
    </xf>
    <xf numFmtId="0" fontId="27" fillId="0" borderId="34" xfId="0" applyFont="1" applyBorder="1" applyNumberFormat="1">
      <alignment horizontal="center" vertical="center" wrapText="1"/>
    </xf>
    <xf numFmtId="0" fontId="27" fillId="0" borderId="23" xfId="0" applyFont="1" applyBorder="1" applyNumberFormat="1">
      <alignment horizontal="left" vertical="center" wrapText="1"/>
    </xf>
    <xf numFmtId="0" fontId="27" fillId="0" borderId="26" xfId="0" applyFont="1" applyBorder="1" applyNumberFormat="1">
      <alignment horizontal="center" vertical="center"/>
    </xf>
    <xf numFmtId="0" fontId="27" fillId="0" borderId="26" xfId="0" applyFont="1" applyBorder="1" applyNumberFormat="1">
      <alignment horizontal="left" vertical="center" wrapText="1"/>
    </xf>
    <xf numFmtId="0" fontId="48" fillId="0" borderId="28" xfId="0" applyFont="1" applyBorder="1" applyNumberFormat="1">
      <alignment horizontal="left" vertical="center"/>
    </xf>
    <xf numFmtId="0" fontId="27" fillId="0" borderId="32" xfId="0" applyFont="1" applyBorder="1" applyNumberFormat="1">
      <alignment horizontal="left" vertical="center" wrapText="1"/>
    </xf>
    <xf numFmtId="0" fontId="27" fillId="0" borderId="33" xfId="0" applyFont="1" applyBorder="1" applyNumberFormat="1">
      <alignment horizontal="left" vertical="center" wrapText="1"/>
    </xf>
    <xf numFmtId="0" fontId="27" fillId="0" borderId="21" xfId="0" applyFont="1" applyBorder="1" applyNumberFormat="1">
      <alignment horizontal="left" vertical="center" wrapText="1"/>
    </xf>
    <xf numFmtId="0" fontId="27" fillId="39" borderId="0" xfId="0" applyFont="1" applyFill="1" applyNumberFormat="1"/>
    <xf numFmtId="0" fontId="23" fillId="39" borderId="0" xfId="0" applyFont="1" applyFill="1" applyNumberFormat="1"/>
    <xf numFmtId="0" fontId="44" fillId="39" borderId="0" xfId="0" applyFont="1" applyFill="1" applyNumberFormat="1"/>
    <xf numFmtId="0" fontId="40" fillId="39" borderId="0" xfId="0" applyFont="1" applyFill="1" applyNumberFormat="1">
      <alignment horizontal="center"/>
    </xf>
    <xf numFmtId="0" fontId="40" fillId="39" borderId="0" xfId="0" applyFont="1" applyFill="1" applyNumberFormat="1"/>
    <xf numFmtId="0" fontId="57" fillId="39" borderId="0" xfId="0" applyFont="1" applyFill="1" applyNumberFormat="1">
      <alignment horizontal="right" vertical="center"/>
    </xf>
    <xf numFmtId="0" fontId="44" fillId="39" borderId="0" xfId="0" applyFont="1" applyFill="1" applyNumberFormat="1">
      <alignment vertical="center" wrapText="1"/>
    </xf>
    <xf numFmtId="0" fontId="35" fillId="39" borderId="0" xfId="0" applyFont="1" applyFill="1" applyNumberFormat="1">
      <alignment horizontal="left" vertical="center" wrapText="1"/>
    </xf>
    <xf numFmtId="0" fontId="23" fillId="39" borderId="23" xfId="0" applyFont="1" applyFill="1" applyBorder="1" applyNumberFormat="1">
      <alignment horizontal="center" vertical="center" wrapText="1"/>
    </xf>
    <xf numFmtId="0" fontId="27" fillId="39" borderId="23" xfId="0" applyFont="1" applyFill="1" applyBorder="1" applyNumberFormat="1">
      <alignment horizontal="center" vertical="center" wrapText="1"/>
    </xf>
    <xf numFmtId="0" fontId="47" fillId="39" borderId="0" xfId="0" applyFont="1" applyFill="1" applyNumberFormat="1">
      <alignment horizontal="center" vertical="center"/>
    </xf>
    <xf numFmtId="0" fontId="44" fillId="0" borderId="23" xfId="0" applyFont="1" applyBorder="1" applyNumberFormat="1">
      <alignment vertical="center" wrapText="1"/>
    </xf>
    <xf numFmtId="0" fontId="44" fillId="0" borderId="23" xfId="0" applyFont="1" applyBorder="1" applyNumberFormat="1">
      <alignment horizontal="left" vertical="center" wrapText="1"/>
    </xf>
    <xf numFmtId="0" fontId="58" fillId="39" borderId="0" xfId="0" applyFont="1" applyFill="1" applyNumberFormat="1"/>
    <xf numFmtId="0" fontId="23" fillId="39" borderId="23" xfId="0" applyFont="1" applyFill="1" applyBorder="1" applyNumberFormat="1">
      <alignment vertical="center" wrapText="1"/>
    </xf>
    <xf numFmtId="0" fontId="27" fillId="39" borderId="23" xfId="0" applyFont="1" applyFill="1" applyBorder="1" applyNumberFormat="1">
      <alignment vertical="center" wrapText="1"/>
    </xf>
    <xf numFmtId="0" fontId="23" fillId="39" borderId="23" xfId="0" applyFont="1" applyFill="1" applyBorder="1" applyNumberFormat="1">
      <alignment horizontal="left" vertical="center" wrapText="1" indent="1"/>
    </xf>
    <xf numFmtId="0" fontId="44" fillId="0" borderId="23" xfId="0" applyFont="1" applyBorder="1" applyNumberFormat="1">
      <alignment horizontal="left" vertical="center" wrapText="1" indent="1"/>
    </xf>
    <xf numFmtId="0" fontId="27" fillId="39" borderId="29" xfId="0" applyFont="1" applyFill="1" applyBorder="1" applyNumberFormat="1">
      <alignment horizontal="center" vertical="center" wrapText="1"/>
    </xf>
    <xf numFmtId="0" fontId="23" fillId="39" borderId="23" xfId="0" applyFont="1" applyFill="1" applyBorder="1" applyNumberFormat="1">
      <alignment horizontal="center" vertical="center"/>
    </xf>
    <xf numFmtId="0" fontId="23" fillId="39" borderId="23" xfId="0" applyFont="1" applyFill="1" applyBorder="1" applyNumberFormat="1">
      <alignment horizontal="left" vertical="center" wrapText="1" indent="2"/>
    </xf>
    <xf numFmtId="0" fontId="27" fillId="39" borderId="29" xfId="0" applyFont="1" applyFill="1" applyBorder="1" applyNumberFormat="1">
      <alignment vertical="center" wrapText="1"/>
    </xf>
    <xf numFmtId="0" fontId="27" fillId="41" borderId="21" xfId="0" applyFont="1" applyFill="1" applyBorder="1" applyNumberFormat="1">
      <alignment horizontal="center"/>
    </xf>
    <xf numFmtId="0" fontId="57" fillId="41" borderId="25" xfId="0" applyFont="1" applyFill="1" applyBorder="1" applyNumberFormat="1">
      <alignment horizontal="left" vertical="center"/>
    </xf>
    <xf numFmtId="0" fontId="57" fillId="41" borderId="20" xfId="0" applyFont="1" applyFill="1" applyBorder="1" applyNumberFormat="1">
      <alignment horizontal="left" vertical="center"/>
    </xf>
    <xf numFmtId="0" fontId="44" fillId="39" borderId="23" xfId="0" applyFont="1" applyFill="1" applyBorder="1" applyNumberFormat="1">
      <alignment vertical="center" wrapText="1"/>
    </xf>
    <xf numFmtId="0" fontId="44" fillId="39" borderId="23" xfId="0" applyFont="1" applyFill="1" applyBorder="1" applyNumberFormat="1">
      <alignment horizontal="left" vertical="center" wrapText="1" indent="1"/>
    </xf>
    <xf numFmtId="0" fontId="44" fillId="39" borderId="23" xfId="0" applyFont="1" applyFill="1" applyBorder="1" applyNumberFormat="1">
      <alignment horizontal="left" vertical="center" wrapText="1" indent="2"/>
    </xf>
    <xf numFmtId="0" fontId="23" fillId="39" borderId="23" xfId="0" applyFont="1" applyFill="1" applyBorder="1" applyNumberFormat="1">
      <alignment horizontal="left" vertical="center" wrapText="1"/>
    </xf>
    <xf numFmtId="0" fontId="23" fillId="39" borderId="32" xfId="0" applyFont="1" applyFill="1" applyBorder="1" applyNumberFormat="1">
      <alignment horizontal="left" vertical="center" wrapText="1"/>
    </xf>
    <xf numFmtId="0" fontId="27" fillId="39" borderId="32" xfId="0" applyFont="1" applyFill="1" applyBorder="1" applyNumberFormat="1">
      <alignment horizontal="left" vertical="top" wrapText="1"/>
    </xf>
    <xf numFmtId="0" fontId="27" fillId="39" borderId="42" xfId="0" applyFont="1" applyFill="1" applyBorder="1" applyNumberFormat="1">
      <alignment horizontal="left" vertical="top" wrapText="1"/>
    </xf>
    <xf numFmtId="0" fontId="50" fillId="39" borderId="0" xfId="0" applyFont="1" applyFill="1" applyNumberFormat="1">
      <alignment horizontal="center" vertical="center" wrapText="1"/>
    </xf>
    <xf numFmtId="0" fontId="27" fillId="39" borderId="30" xfId="0" applyFont="1" applyFill="1" applyBorder="1" applyNumberFormat="1">
      <alignment horizontal="left" vertical="top" wrapText="1"/>
    </xf>
    <xf numFmtId="0" fontId="59" fillId="39" borderId="0" xfId="0" applyFont="1" applyFill="1" applyNumberFormat="1"/>
    <xf numFmtId="0" fontId="23" fillId="39" borderId="21" xfId="0" applyFont="1" applyFill="1" applyBorder="1" applyNumberFormat="1">
      <alignment horizontal="left" vertical="center" wrapText="1" indent="1"/>
    </xf>
    <xf numFmtId="0" fontId="23" fillId="39" borderId="23" xfId="0" applyFont="1" applyFill="1" applyBorder="1" applyNumberFormat="1">
      <alignment vertical="top" wrapText="1"/>
    </xf>
    <xf numFmtId="0" fontId="23" fillId="39" borderId="21" xfId="0" applyFont="1" applyFill="1" applyBorder="1" applyNumberFormat="1">
      <alignment horizontal="left" vertical="center" wrapText="1"/>
    </xf>
    <xf numFmtId="0" fontId="23" fillId="39" borderId="30" xfId="0" applyFont="1" applyFill="1" applyBorder="1" applyNumberFormat="1">
      <alignment vertical="center" wrapText="1"/>
    </xf>
    <xf numFmtId="0" fontId="49" fillId="0" borderId="0" xfId="0" applyFont="1" applyNumberFormat="1">
      <alignment horizontal="left" vertical="top" wrapText="1" indent="1"/>
    </xf>
    <xf numFmtId="0" fontId="60" fillId="39" borderId="0" xfId="0" applyFont="1" applyFill="1" applyNumberFormat="1"/>
    <xf numFmtId="0" fontId="53" fillId="39" borderId="0" xfId="0" applyFont="1" applyFill="1" applyNumberFormat="1">
      <alignment horizontal="center"/>
    </xf>
    <xf numFmtId="0" fontId="53" fillId="39" borderId="0" xfId="0" applyFont="1" applyFill="1" applyNumberFormat="1"/>
    <xf numFmtId="0" fontId="61" fillId="39" borderId="0" xfId="0" applyFont="1" applyFill="1" applyNumberFormat="1">
      <alignment horizontal="right" vertical="center"/>
    </xf>
    <xf numFmtId="0" fontId="62" fillId="39" borderId="0" xfId="0" applyFont="1" applyFill="1" applyNumberFormat="1">
      <alignment vertical="center"/>
    </xf>
    <xf numFmtId="0" fontId="61" fillId="39" borderId="0" xfId="0" applyFont="1" applyFill="1" applyNumberFormat="1">
      <alignment horizontal="right" vertical="top"/>
    </xf>
    <xf numFmtId="0" fontId="62" fillId="39" borderId="0" xfId="0" applyFont="1" applyFill="1" applyNumberFormat="1">
      <alignment vertical="center" wrapText="1"/>
    </xf>
    <xf numFmtId="0" fontId="23" fillId="39" borderId="0" xfId="0" applyFont="1" applyFill="1" applyNumberFormat="1">
      <alignment horizontal="center"/>
    </xf>
    <xf numFmtId="0" fontId="37" fillId="0" borderId="0" xfId="0" applyFont="1" applyNumberFormat="1">
      <alignment horizontal="center" vertical="center" wrapText="1"/>
    </xf>
    <xf numFmtId="0" fontId="63" fillId="39" borderId="0" xfId="0" applyFont="1" applyFill="1" applyNumberFormat="1">
      <alignment horizontal="center" vertical="center" wrapText="1"/>
    </xf>
    <xf numFmtId="0" fontId="63" fillId="39" borderId="0" xfId="0" applyFont="1" applyFill="1" applyNumberFormat="1">
      <alignment horizontal="right" vertical="center" wrapText="1"/>
    </xf>
    <xf numFmtId="0" fontId="63" fillId="0" borderId="0" xfId="0" applyFont="1" applyNumberFormat="1">
      <alignment vertical="center" wrapText="1"/>
    </xf>
    <xf numFmtId="0" fontId="27" fillId="0" borderId="34" xfId="0" applyFont="1" applyBorder="1" applyNumberFormat="1">
      <alignment horizontal="left" vertical="center" wrapText="1" indent="1"/>
    </xf>
    <xf numFmtId="0" fontId="27" fillId="0" borderId="30" xfId="0" applyFont="1" applyBorder="1" applyNumberFormat="1">
      <alignment horizontal="left" vertical="center" wrapText="1" indent="1"/>
    </xf>
    <xf numFmtId="0" fontId="27" fillId="0" borderId="35" xfId="0" applyFont="1" applyBorder="1" applyNumberFormat="1">
      <alignment horizontal="left" vertical="center" wrapText="1" indent="1"/>
    </xf>
    <xf numFmtId="0" fontId="64" fillId="39" borderId="0" xfId="0" applyFont="1" applyFill="1" applyNumberFormat="1">
      <alignment horizontal="center" vertical="center" wrapText="1"/>
    </xf>
    <xf numFmtId="0" fontId="23" fillId="0" borderId="21"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3"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5" xfId="0" applyFont="1" applyBorder="1" applyNumberFormat="1">
      <alignment horizontal="center" vertical="center" wrapText="1"/>
    </xf>
    <xf numFmtId="0" fontId="23" fillId="0" borderId="34" xfId="0" applyFont="1" applyBorder="1" applyNumberFormat="1">
      <alignment horizontal="center" vertical="center" wrapText="1"/>
    </xf>
    <xf numFmtId="0" fontId="47" fillId="39" borderId="0" xfId="0" applyFont="1" applyFill="1" applyNumberFormat="1">
      <alignment horizontal="center" vertical="center" wrapText="1"/>
    </xf>
    <xf numFmtId="0" fontId="65" fillId="39" borderId="0" xfId="0" applyFont="1" applyFill="1" applyNumberFormat="1">
      <alignment horizontal="center" vertical="center" wrapText="1"/>
    </xf>
    <xf numFmtId="0" fontId="55" fillId="0" borderId="0" xfId="0" applyFont="1" applyNumberFormat="1">
      <alignment vertical="center" wrapText="1"/>
    </xf>
    <xf numFmtId="0" fontId="27" fillId="40" borderId="21" xfId="0" applyFont="1" applyFill="1" applyBorder="1" applyNumberFormat="1">
      <alignment horizontal="left" vertical="center" wrapText="1"/>
    </xf>
    <xf numFmtId="0" fontId="23" fillId="35" borderId="23" xfId="0" applyFont="1" applyFill="1" applyBorder="1" applyNumberFormat="1">
      <alignment horizontal="right" vertical="center" wrapText="1"/>
      <protection locked="0"/>
    </xf>
    <xf numFmtId="0" fontId="23" fillId="0" borderId="32" xfId="0" applyFont="1" applyBorder="1" applyNumberFormat="1">
      <alignment horizontal="left" vertical="top" wrapText="1"/>
    </xf>
    <xf numFmtId="0" fontId="48" fillId="41" borderId="25" xfId="0" applyFont="1" applyFill="1" applyBorder="1" applyNumberFormat="1">
      <alignment vertical="center"/>
    </xf>
    <xf numFmtId="0" fontId="23" fillId="0" borderId="30" xfId="0" applyFont="1" applyBorder="1" applyNumberFormat="1">
      <alignment horizontal="left" vertical="top" wrapText="1"/>
    </xf>
    <xf numFmtId="0" fontId="27" fillId="40" borderId="26" xfId="0" applyFont="1" applyFill="1" applyBorder="1" applyNumberFormat="1">
      <alignment horizontal="left" vertical="center" wrapText="1"/>
    </xf>
    <xf numFmtId="0" fontId="50" fillId="39" borderId="23" xfId="0" applyFont="1" applyFill="1" applyBorder="1" applyNumberFormat="1">
      <alignment horizontal="center" vertical="center" wrapText="1"/>
    </xf>
    <xf numFmtId="0" fontId="27" fillId="40" borderId="45" xfId="0" applyFont="1" applyFill="1" applyBorder="1" applyNumberFormat="1">
      <alignment horizontal="left" vertical="center" wrapText="1"/>
    </xf>
    <xf numFmtId="0" fontId="27" fillId="0" borderId="26" xfId="0" applyFont="1" applyBorder="1" applyNumberFormat="1">
      <alignment horizontal="left" vertical="top" wrapText="1" indent="1"/>
    </xf>
    <xf numFmtId="0" fontId="29" fillId="39" borderId="0" xfId="0" applyFont="1" applyFill="1" applyNumberFormat="1">
      <alignment horizontal="right" vertical="center"/>
    </xf>
    <xf numFmtId="0" fontId="29" fillId="39" borderId="0" xfId="0" applyFont="1" applyFill="1" applyNumberFormat="1">
      <alignment horizontal="right" vertical="center" wrapText="1"/>
    </xf>
    <xf numFmtId="0" fontId="50" fillId="39" borderId="29" xfId="0" applyFont="1" applyFill="1" applyBorder="1" applyNumberFormat="1">
      <alignment vertical="top" wrapText="1"/>
    </xf>
    <xf numFmtId="0" fontId="23" fillId="0" borderId="42" xfId="0" applyFont="1" applyBorder="1" applyNumberFormat="1">
      <alignment horizontal="left" vertical="top" wrapText="1"/>
    </xf>
    <xf numFmtId="0" fontId="50" fillId="39" borderId="0" xfId="0" applyFont="1" applyFill="1" applyNumberFormat="1">
      <alignment vertical="top" wrapText="1"/>
    </xf>
    <xf numFmtId="0" fontId="44" fillId="39" borderId="30" xfId="0" applyFont="1" applyFill="1" applyBorder="1" applyNumberFormat="1">
      <alignment horizontal="center" vertical="center" wrapText="1"/>
    </xf>
    <xf numFmtId="0" fontId="44" fillId="0" borderId="0" xfId="0" applyFont="1" applyNumberFormat="1">
      <alignment horizontal="left" vertical="center" wrapText="1"/>
    </xf>
    <xf numFmtId="0" fontId="49" fillId="0" borderId="0" xfId="0" applyFont="1" applyNumberFormat="1">
      <alignment vertical="top"/>
    </xf>
    <xf numFmtId="0" fontId="37" fillId="0" borderId="23" xfId="0" applyFont="1" applyBorder="1" applyNumberFormat="1">
      <alignment horizontal="center" vertical="center"/>
    </xf>
    <xf numFmtId="0" fontId="27" fillId="39" borderId="23" xfId="0" applyFont="1" applyFill="1" applyBorder="1" applyNumberFormat="1">
      <alignment horizontal="left" vertical="center" wrapText="1"/>
    </xf>
    <xf numFmtId="0" fontId="27" fillId="0" borderId="23" xfId="0" applyFont="1" applyBorder="1" applyNumberFormat="1">
      <alignment vertical="center" wrapText="1"/>
    </xf>
    <xf numFmtId="0" fontId="27" fillId="0" borderId="23" xfId="0" applyFont="1" applyBorder="1" applyNumberFormat="1">
      <alignment horizontal="left" vertical="center" wrapText="1" indent="6"/>
    </xf>
    <xf numFmtId="0" fontId="27" fillId="37" borderId="21" xfId="0" applyFont="1" applyFill="1" applyBorder="1" applyNumberFormat="1">
      <alignment horizontal="left" vertical="center" wrapText="1"/>
    </xf>
    <xf numFmtId="0" fontId="27" fillId="37" borderId="25" xfId="0" applyFont="1" applyFill="1" applyBorder="1" applyNumberFormat="1">
      <alignment horizontal="left" vertical="center" wrapText="1"/>
    </xf>
    <xf numFmtId="0" fontId="27" fillId="37" borderId="20" xfId="0" applyFont="1" applyFill="1" applyBorder="1" applyNumberFormat="1">
      <alignment horizontal="left" vertical="center" wrapText="1"/>
    </xf>
    <xf numFmtId="0" fontId="49" fillId="0" borderId="23" xfId="0" applyFont="1" applyBorder="1" applyNumberFormat="1">
      <alignment vertical="top" wrapText="1"/>
    </xf>
    <xf numFmtId="0" fontId="37" fillId="0" borderId="21" xfId="0" applyFont="1" applyBorder="1" applyNumberFormat="1">
      <alignment horizontal="center" vertical="center"/>
    </xf>
    <xf numFmtId="0" fontId="46" fillId="39" borderId="0" xfId="0" applyFont="1" applyFill="1" applyNumberFormat="1">
      <alignment horizontal="center" vertical="center" wrapText="1"/>
    </xf>
    <xf numFmtId="0" fontId="27" fillId="0" borderId="29" xfId="0" applyFont="1" applyBorder="1" applyNumberFormat="1">
      <alignment vertical="center" wrapText="1"/>
    </xf>
    <xf numFmtId="0" fontId="27" fillId="39" borderId="23" xfId="0" applyFont="1" applyFill="1" applyBorder="1" applyNumberFormat="1">
      <alignment horizontal="left" vertical="center" wrapText="1" indent="1"/>
    </xf>
    <xf numFmtId="0" fontId="27" fillId="39" borderId="23" xfId="0" applyFont="1" applyFill="1" applyBorder="1" applyNumberFormat="1">
      <alignment horizontal="left" vertical="center" wrapText="1" indent="2"/>
    </xf>
    <xf numFmtId="0" fontId="27" fillId="39" borderId="23" xfId="0" applyFont="1" applyFill="1" applyBorder="1" applyNumberFormat="1">
      <alignment horizontal="left" vertical="center" wrapText="1" indent="3"/>
    </xf>
    <xf numFmtId="0" fontId="37" fillId="0" borderId="23" xfId="0" applyFont="1" applyBorder="1" applyNumberFormat="1">
      <alignment horizontal="center" vertical="center" wrapText="1"/>
    </xf>
    <xf numFmtId="0" fontId="37" fillId="0" borderId="0" xfId="0" applyFont="1" applyNumberFormat="1">
      <alignment horizontal="center" vertical="center"/>
    </xf>
    <xf numFmtId="0" fontId="44" fillId="0" borderId="29" xfId="0" applyFont="1" applyBorder="1" applyNumberFormat="1">
      <alignment horizontal="center" vertical="center" wrapText="1"/>
    </xf>
    <xf numFmtId="0" fontId="27" fillId="39" borderId="23" xfId="0" applyFont="1" applyFill="1" applyBorder="1" applyNumberFormat="1">
      <alignment horizontal="left" vertical="center" wrapText="1" indent="4"/>
    </xf>
    <xf numFmtId="0" fontId="27" fillId="40" borderId="25" xfId="0" applyFont="1" applyFill="1" applyBorder="1" applyNumberFormat="1">
      <alignment horizontal="left" vertical="center" wrapText="1"/>
    </xf>
    <xf numFmtId="0" fontId="27" fillId="40" borderId="20" xfId="0" applyFont="1" applyFill="1" applyBorder="1" applyNumberFormat="1">
      <alignment horizontal="left" vertical="center" wrapText="1"/>
    </xf>
    <xf numFmtId="0" fontId="37" fillId="0" borderId="21" xfId="0" applyFont="1" applyBorder="1" applyNumberFormat="1">
      <alignment horizontal="center" vertical="center" wrapText="1"/>
    </xf>
    <xf numFmtId="0" fontId="44" fillId="0" borderId="29" xfId="0" applyFont="1" applyBorder="1" applyNumberFormat="1">
      <alignment vertical="center" wrapText="1"/>
    </xf>
    <xf numFmtId="0" fontId="27" fillId="39" borderId="23" xfId="0" applyFont="1" applyFill="1" applyBorder="1" applyNumberFormat="1">
      <alignment horizontal="left" vertical="center" wrapText="1" indent="5"/>
    </xf>
    <xf numFmtId="0" fontId="27" fillId="40" borderId="23" xfId="0" applyFont="1" applyFill="1" applyBorder="1" applyNumberFormat="1">
      <alignment horizontal="left" vertical="center" wrapText="1" indent="6"/>
    </xf>
    <xf numFmtId="0" fontId="49" fillId="0" borderId="32" xfId="0" applyFont="1" applyBorder="1" applyNumberFormat="1">
      <alignment horizontal="left" vertical="top" wrapText="1"/>
    </xf>
    <xf numFmtId="0" fontId="49" fillId="0" borderId="42" xfId="0" applyFont="1" applyBorder="1" applyNumberFormat="1">
      <alignment horizontal="left" vertical="top" wrapText="1"/>
    </xf>
    <xf numFmtId="0" fontId="49" fillId="0" borderId="30" xfId="0" applyFont="1" applyBorder="1" applyNumberFormat="1">
      <alignment horizontal="left" vertical="top" wrapText="1"/>
    </xf>
    <xf numFmtId="0" fontId="70" fillId="39" borderId="0" xfId="0" applyFont="1" applyFill="1" applyNumberFormat="1">
      <alignment vertical="center" wrapText="1"/>
    </xf>
    <xf numFmtId="0" fontId="27" fillId="39" borderId="0" xfId="0" applyFont="1" applyFill="1" applyNumberFormat="1">
      <alignment horizontal="left" vertical="center" wrapText="1"/>
    </xf>
    <xf numFmtId="0" fontId="31" fillId="39" borderId="0" xfId="0" applyFont="1" applyFill="1" applyNumberFormat="1">
      <alignment horizontal="center" vertical="center" wrapText="1"/>
    </xf>
    <xf numFmtId="0" fontId="23" fillId="39" borderId="23" xfId="0" applyFont="1" applyFill="1" applyBorder="1" applyNumberFormat="1">
      <alignment horizontal="right" vertical="center" wrapText="1" indent="1"/>
    </xf>
    <xf numFmtId="0" fontId="23" fillId="0" borderId="25" xfId="0" applyFont="1" applyBorder="1" applyNumberFormat="1">
      <alignment vertical="center"/>
    </xf>
    <xf numFmtId="0" fontId="27" fillId="37" borderId="23" xfId="0" applyFont="1" applyFill="1" applyBorder="1" applyNumberFormat="1">
      <alignment horizontal="left" vertical="center" wrapText="1" indent="1"/>
    </xf>
    <xf numFmtId="0" fontId="27" fillId="39" borderId="45" xfId="0" applyFont="1" applyFill="1" applyBorder="1" applyNumberFormat="1">
      <alignment vertical="center" wrapText="1"/>
    </xf>
    <xf numFmtId="0" fontId="50" fillId="0" borderId="45" xfId="0" applyFont="1" applyBorder="1" applyNumberFormat="1">
      <alignment horizontal="center" vertical="center" wrapText="1"/>
    </xf>
    <xf numFmtId="0" fontId="27" fillId="0" borderId="32" xfId="0" applyFont="1" applyBorder="1" applyNumberFormat="1">
      <alignment vertical="center" wrapText="1"/>
    </xf>
    <xf numFmtId="0" fontId="23" fillId="39" borderId="21" xfId="0" applyFont="1" applyFill="1" applyBorder="1" applyNumberFormat="1">
      <alignment horizontal="center" vertical="center" wrapText="1"/>
    </xf>
    <xf numFmtId="0" fontId="23" fillId="39" borderId="25" xfId="0" applyFont="1" applyFill="1" applyBorder="1" applyNumberFormat="1">
      <alignment horizontal="center" vertical="center" wrapText="1"/>
    </xf>
    <xf numFmtId="0" fontId="23" fillId="39" borderId="20" xfId="0" applyFont="1" applyFill="1" applyBorder="1" applyNumberFormat="1">
      <alignment horizontal="center" vertical="center" wrapText="1"/>
    </xf>
    <xf numFmtId="0" fontId="27" fillId="39" borderId="32" xfId="0" applyFont="1" applyFill="1" applyBorder="1" applyNumberFormat="1">
      <alignment horizontal="center" vertical="center" wrapText="1"/>
    </xf>
    <xf numFmtId="0" fontId="27" fillId="0" borderId="42" xfId="0" applyFont="1" applyBorder="1" applyNumberFormat="1">
      <alignment vertical="center" wrapText="1"/>
    </xf>
    <xf numFmtId="0" fontId="37" fillId="0" borderId="32" xfId="0" applyFont="1" applyBorder="1" applyNumberFormat="1">
      <alignment horizontal="center" vertical="center" wrapText="1"/>
    </xf>
    <xf numFmtId="0" fontId="27" fillId="39" borderId="42" xfId="0" applyFont="1" applyFill="1" applyBorder="1" applyNumberFormat="1">
      <alignment horizontal="center" vertical="center" wrapText="1"/>
    </xf>
    <xf numFmtId="0" fontId="27" fillId="0" borderId="30" xfId="0" applyFont="1" applyBorder="1" applyNumberFormat="1">
      <alignment vertical="center" wrapText="1"/>
    </xf>
    <xf numFmtId="0" fontId="37" fillId="0" borderId="30" xfId="0" applyFont="1" applyBorder="1" applyNumberFormat="1">
      <alignment horizontal="center" vertical="center" wrapText="1"/>
    </xf>
    <xf numFmtId="0" fontId="27" fillId="39" borderId="30" xfId="0" applyFont="1" applyFill="1" applyBorder="1" applyNumberFormat="1">
      <alignment horizontal="center" vertical="center" wrapText="1"/>
    </xf>
    <xf numFmtId="0" fontId="81" fillId="39" borderId="0" xfId="0" applyFont="1" applyFill="1" applyNumberFormat="1">
      <alignment vertical="center" wrapText="1"/>
    </xf>
    <xf numFmtId="0" fontId="82" fillId="39" borderId="0" xfId="0" applyFont="1" applyFill="1" applyNumberFormat="1">
      <alignment vertical="center" wrapText="1"/>
    </xf>
    <xf numFmtId="0" fontId="44" fillId="39" borderId="26" xfId="0" applyFont="1" applyFill="1" applyBorder="1" applyNumberFormat="1">
      <alignment horizontal="center" vertical="center" wrapText="1"/>
    </xf>
    <xf numFmtId="0" fontId="65" fillId="39" borderId="26" xfId="0" applyFont="1" applyFill="1" applyBorder="1" applyNumberFormat="1">
      <alignment horizontal="center" vertical="center" wrapText="1"/>
    </xf>
    <xf numFmtId="0" fontId="37" fillId="0" borderId="0" xfId="0" applyFont="1" applyNumberFormat="1">
      <alignment horizontal="left" vertical="center" indent="1"/>
    </xf>
    <xf numFmtId="0" fontId="70" fillId="0" borderId="0" xfId="0" applyFont="1" applyNumberFormat="1">
      <alignment vertical="center" wrapText="1"/>
    </xf>
    <xf numFmtId="0" fontId="27" fillId="0" borderId="23" xfId="0" applyFont="1" applyBorder="1" applyNumberFormat="1">
      <alignment horizontal="center" vertical="center"/>
    </xf>
    <xf numFmtId="0" fontId="27" fillId="0" borderId="21" xfId="0" applyFont="1" applyBorder="1" applyNumberFormat="1">
      <alignment horizontal="center" vertical="center"/>
    </xf>
    <xf numFmtId="0" fontId="27" fillId="0" borderId="0" xfId="0" applyFont="1" applyNumberFormat="1">
      <alignment horizontal="center" vertical="center"/>
    </xf>
    <xf numFmtId="0" fontId="55" fillId="0" borderId="0" xfId="0" applyFont="1" applyNumberFormat="1">
      <alignment horizontal="left" vertical="center" indent="1"/>
    </xf>
    <xf numFmtId="0" fontId="23" fillId="39" borderId="26" xfId="0" applyFont="1" applyFill="1" applyBorder="1" applyNumberFormat="1">
      <alignment horizontal="center" vertical="center" wrapText="1"/>
    </xf>
    <xf numFmtId="0" fontId="44" fillId="0" borderId="32" xfId="0" applyFont="1" applyBorder="1" applyNumberFormat="1">
      <alignment horizontal="center" vertical="center" wrapText="1"/>
    </xf>
    <xf numFmtId="0" fontId="44" fillId="0" borderId="23" xfId="0" applyFont="1" applyBorder="1" applyNumberFormat="1">
      <alignment horizontal="left" vertical="center" wrapText="1" indent="4"/>
    </xf>
    <xf numFmtId="0" fontId="44" fillId="0" borderId="23" xfId="0" applyFont="1" applyBorder="1" applyNumberFormat="1">
      <alignment horizontal="left" vertical="center" wrapText="1" indent="6"/>
    </xf>
    <xf numFmtId="0" fontId="44" fillId="0" borderId="21" xfId="0" applyFont="1" applyBorder="1" applyNumberFormat="1">
      <alignment horizontal="left" vertical="center" wrapText="1"/>
    </xf>
    <xf numFmtId="0" fontId="44" fillId="0" borderId="25" xfId="0" applyFont="1" applyBorder="1" applyNumberFormat="1">
      <alignment horizontal="left" vertical="center" wrapText="1"/>
    </xf>
    <xf numFmtId="0" fontId="44" fillId="0" borderId="20" xfId="0" applyFont="1" applyBorder="1" applyNumberFormat="1">
      <alignment horizontal="left" vertical="center" wrapText="1"/>
    </xf>
    <xf numFmtId="0" fontId="44" fillId="0" borderId="23" xfId="0" applyFont="1" applyBorder="1" applyNumberFormat="1">
      <alignment vertical="top" wrapText="1"/>
    </xf>
    <xf numFmtId="0" fontId="44" fillId="0" borderId="0" xfId="0" applyFont="1" applyNumberFormat="1">
      <alignment horizontal="center" vertical="center"/>
    </xf>
    <xf numFmtId="0" fontId="27" fillId="39" borderId="32" xfId="0" applyFont="1" applyFill="1" applyBorder="1" applyNumberFormat="1">
      <alignment horizontal="left" vertical="center" wrapText="1"/>
    </xf>
    <xf numFmtId="0" fontId="27" fillId="39" borderId="32" xfId="0" applyFont="1" applyFill="1" applyBorder="1" applyNumberFormat="1">
      <alignment horizontal="left" vertical="center" wrapText="1" indent="2"/>
    </xf>
    <xf numFmtId="0" fontId="27" fillId="0" borderId="32" xfId="0" applyFont="1" applyBorder="1" applyNumberFormat="1">
      <alignment horizontal="left" vertical="center" wrapText="1" indent="6"/>
    </xf>
    <xf numFmtId="0" fontId="27" fillId="37" borderId="33" xfId="0" applyFont="1" applyFill="1" applyBorder="1" applyNumberFormat="1">
      <alignment horizontal="left" vertical="center" wrapText="1"/>
    </xf>
    <xf numFmtId="0" fontId="27" fillId="37" borderId="26" xfId="0" applyFont="1" applyFill="1" applyBorder="1" applyNumberFormat="1">
      <alignment horizontal="left" vertical="center" wrapText="1"/>
    </xf>
    <xf numFmtId="0" fontId="27" fillId="37" borderId="27" xfId="0" applyFont="1" applyFill="1" applyBorder="1" applyNumberFormat="1">
      <alignment horizontal="left" vertical="center" wrapText="1"/>
    </xf>
    <xf numFmtId="0" fontId="27" fillId="37" borderId="23" xfId="0" applyFont="1" applyFill="1" applyBorder="1" applyNumberFormat="1">
      <alignment horizontal="left" vertical="center" wrapText="1"/>
    </xf>
    <xf numFmtId="0" fontId="49" fillId="0" borderId="20" xfId="0" applyFont="1" applyBorder="1" applyNumberFormat="1">
      <alignment vertical="top" wrapText="1"/>
    </xf>
    <xf numFmtId="0" fontId="44" fillId="0" borderId="20" xfId="0" applyFont="1" applyBorder="1" applyNumberFormat="1">
      <alignment vertical="top" wrapText="1"/>
    </xf>
    <xf numFmtId="0" fontId="27" fillId="40" borderId="23" xfId="0" applyFont="1" applyFill="1" applyBorder="1" applyNumberFormat="1">
      <alignment horizontal="left" vertical="center" wrapText="1"/>
    </xf>
    <xf numFmtId="0" fontId="27" fillId="39" borderId="30" xfId="0" applyFont="1" applyFill="1" applyBorder="1" applyNumberFormat="1">
      <alignment horizontal="left" vertical="center" wrapText="1"/>
    </xf>
    <xf numFmtId="0" fontId="27" fillId="40" borderId="30" xfId="0" applyFont="1" applyFill="1" applyBorder="1" applyNumberFormat="1">
      <alignment horizontal="left" vertical="center" wrapText="1" indent="6"/>
    </xf>
    <xf numFmtId="0" fontId="27" fillId="0" borderId="30" xfId="0" applyFont="1" applyBorder="1" applyNumberFormat="1">
      <alignment horizontal="left" vertical="center" wrapText="1" indent="6"/>
    </xf>
    <xf numFmtId="0" fontId="27" fillId="40" borderId="27" xfId="0" applyFont="1" applyFill="1" applyBorder="1" applyNumberFormat="1">
      <alignment horizontal="left" vertical="center" wrapText="1"/>
    </xf>
    <xf numFmtId="0" fontId="49" fillId="0" borderId="32" xfId="0" applyFont="1" applyBorder="1" applyNumberFormat="1">
      <alignment vertical="top" wrapText="1"/>
    </xf>
    <xf numFmtId="0" fontId="27" fillId="35" borderId="23" xfId="0" applyFont="1" applyFill="1" applyBorder="1" applyNumberFormat="1">
      <alignment horizontal="left" vertical="center" wrapText="1" indent="7"/>
      <protection locked="0"/>
    </xf>
    <xf numFmtId="0" fontId="27" fillId="41" borderId="25" xfId="0" applyFont="1" applyFill="1" applyBorder="1" applyNumberFormat="1">
      <alignment horizontal="left" vertical="center" wrapText="1" indent="6"/>
    </xf>
    <xf numFmtId="0" fontId="27" fillId="0" borderId="26" xfId="0" applyFont="1" applyBorder="1" applyNumberFormat="1">
      <alignment horizontal="center" vertical="center" wrapText="1"/>
    </xf>
    <xf numFmtId="0" fontId="27" fillId="0" borderId="45" xfId="0" applyFont="1" applyBorder="1" applyNumberFormat="1">
      <alignment horizontal="center" vertical="center" wrapText="1"/>
    </xf>
    <xf numFmtId="0" fontId="23" fillId="0" borderId="42" xfId="0" applyFont="1" applyBorder="1" applyNumberFormat="1">
      <alignment horizontal="center" vertical="center" wrapText="1"/>
    </xf>
    <xf numFmtId="0" fontId="55" fillId="0" borderId="0" xfId="0" applyFont="1" applyNumberFormat="1">
      <alignment horizontal="center" vertical="center"/>
    </xf>
    <xf numFmtId="0" fontId="45" fillId="39" borderId="0" xfId="0" applyFont="1" applyFill="1" applyNumberFormat="1">
      <alignment horizontal="center" vertical="center" wrapText="1"/>
    </xf>
    <xf numFmtId="0" fontId="44" fillId="0" borderId="23" xfId="0" applyFont="1" applyBorder="1" applyNumberFormat="1">
      <alignment horizontal="left" vertical="center" wrapText="1" indent="5"/>
    </xf>
    <xf numFmtId="0" fontId="44" fillId="0" borderId="29" xfId="0" applyFont="1" applyBorder="1" applyNumberFormat="1">
      <alignment horizontal="center" vertical="top" wrapText="1"/>
    </xf>
    <xf numFmtId="0" fontId="50" fillId="0" borderId="23" xfId="0" applyFont="1" applyBorder="1" applyNumberFormat="1">
      <alignment horizontal="center" vertical="center" wrapText="1"/>
    </xf>
    <xf numFmtId="0" fontId="27" fillId="0" borderId="23" xfId="0" applyFont="1" applyBorder="1" applyNumberFormat="1">
      <alignment horizontal="left" vertical="center" wrapText="1" indent="4"/>
    </xf>
    <xf numFmtId="0" fontId="27" fillId="39" borderId="42" xfId="0" applyFont="1" applyFill="1" applyBorder="1" applyNumberFormat="1">
      <alignment horizontal="left" vertical="center" wrapText="1"/>
    </xf>
    <xf numFmtId="0" fontId="44" fillId="0" borderId="29" xfId="0" applyFont="1" applyBorder="1" applyNumberFormat="1">
      <alignment horizontal="left" vertical="center" wrapText="1" indent="1"/>
    </xf>
    <xf numFmtId="0" fontId="37" fillId="0" borderId="0" xfId="0" applyFont="1" applyNumberFormat="1">
      <alignment horizontal="left" vertical="center"/>
    </xf>
    <xf numFmtId="0" fontId="83" fillId="39" borderId="0" xfId="0" applyFont="1" applyFill="1" applyNumberFormat="1">
      <alignment vertical="center" wrapText="1"/>
    </xf>
    <xf numFmtId="0" fontId="27" fillId="39" borderId="33" xfId="0" applyFont="1" applyFill="1" applyBorder="1" applyNumberFormat="1">
      <alignment horizontal="center" vertical="center" wrapText="1"/>
    </xf>
    <xf numFmtId="0" fontId="23" fillId="39" borderId="33" xfId="0" applyFont="1" applyFill="1" applyBorder="1" applyNumberFormat="1">
      <alignment horizontal="center" vertical="center" wrapText="1"/>
    </xf>
    <xf numFmtId="0" fontId="23" fillId="39" borderId="27" xfId="0" applyFont="1" applyFill="1" applyBorder="1" applyNumberFormat="1">
      <alignment horizontal="center" vertical="center" wrapText="1"/>
    </xf>
    <xf numFmtId="0" fontId="27" fillId="39" borderId="28" xfId="0" applyFont="1" applyFill="1" applyBorder="1" applyNumberFormat="1">
      <alignment horizontal="center" vertical="center" wrapText="1"/>
    </xf>
    <xf numFmtId="0" fontId="23" fillId="39" borderId="28" xfId="0" applyFont="1" applyFill="1" applyBorder="1" applyNumberFormat="1">
      <alignment horizontal="center" vertical="center" wrapText="1"/>
    </xf>
    <xf numFmtId="0" fontId="23" fillId="39" borderId="0" xfId="0" applyFont="1" applyFill="1" applyNumberFormat="1">
      <alignment horizontal="center" vertical="center" wrapText="1"/>
    </xf>
    <xf numFmtId="0" fontId="23" fillId="39" borderId="29" xfId="0" applyFont="1" applyFill="1" applyBorder="1" applyNumberFormat="1">
      <alignment horizontal="center" vertical="center" wrapText="1"/>
    </xf>
    <xf numFmtId="0" fontId="27" fillId="37" borderId="23" xfId="0" applyFont="1" applyFill="1" applyBorder="1" applyNumberFormat="1">
      <alignment horizontal="center" vertical="center" wrapText="1"/>
    </xf>
    <xf numFmtId="0" fontId="27" fillId="38" borderId="23" xfId="0" applyFont="1" applyFill="1" applyBorder="1" applyNumberFormat="1">
      <alignment horizontal="center" vertical="center" wrapText="1"/>
      <protection locked="0"/>
    </xf>
    <xf numFmtId="0" fontId="27" fillId="39" borderId="35" xfId="0" applyFont="1" applyFill="1" applyBorder="1" applyNumberFormat="1">
      <alignment horizontal="center" vertical="center" wrapText="1"/>
    </xf>
    <xf numFmtId="0" fontId="23" fillId="39" borderId="35" xfId="0" applyFont="1" applyFill="1" applyBorder="1" applyNumberFormat="1">
      <alignment horizontal="center" vertical="center" wrapText="1"/>
    </xf>
    <xf numFmtId="0" fontId="23" fillId="39" borderId="45" xfId="0" applyFont="1" applyFill="1" applyBorder="1" applyNumberFormat="1">
      <alignment horizontal="center" vertical="center" wrapText="1"/>
    </xf>
    <xf numFmtId="0" fontId="23" fillId="39" borderId="34" xfId="0" applyFont="1" applyFill="1" applyBorder="1" applyNumberFormat="1">
      <alignment horizontal="center" vertical="center" wrapText="1"/>
    </xf>
    <xf numFmtId="0" fontId="27" fillId="0" borderId="23" xfId="0" applyFont="1" applyBorder="1" applyNumberFormat="1">
      <alignment horizontal="left" vertical="center" wrapText="1" indent="1"/>
    </xf>
    <xf numFmtId="0" fontId="83" fillId="0" borderId="0" xfId="0" applyFont="1" applyNumberFormat="1">
      <alignment vertical="center" wrapText="1"/>
    </xf>
    <xf numFmtId="0" fontId="27" fillId="35" borderId="21" xfId="0" applyFont="1" applyFill="1" applyBorder="1" applyNumberFormat="1">
      <alignment horizontal="left" vertical="center" wrapText="1"/>
      <protection locked="0"/>
    </xf>
    <xf numFmtId="0" fontId="27" fillId="35" borderId="25" xfId="0" applyFont="1" applyFill="1" applyBorder="1" applyNumberFormat="1">
      <alignment horizontal="left" vertical="center" wrapText="1"/>
      <protection locked="0"/>
    </xf>
    <xf numFmtId="0" fontId="27" fillId="35" borderId="20" xfId="0" applyFont="1" applyFill="1" applyBorder="1" applyNumberFormat="1">
      <alignment horizontal="left" vertical="center" wrapText="1"/>
      <protection locked="0"/>
    </xf>
    <xf numFmtId="0" fontId="49" fillId="0" borderId="23" xfId="0" applyFont="1" applyBorder="1" applyNumberFormat="1">
      <alignment horizontal="left" vertical="top" wrapText="1"/>
    </xf>
    <xf numFmtId="0" fontId="27" fillId="0" borderId="0" xfId="0" applyFont="1" applyNumberFormat="1">
      <alignment horizontal="left" vertical="center"/>
    </xf>
    <xf numFmtId="0" fontId="27" fillId="38" borderId="20" xfId="0" applyFont="1" applyFill="1" applyBorder="1" applyNumberFormat="1">
      <alignment horizontal="center" vertical="center" wrapText="1"/>
      <protection locked="0"/>
    </xf>
    <xf numFmtId="0" fontId="27" fillId="39" borderId="34" xfId="0" applyFont="1" applyFill="1" applyBorder="1" applyNumberFormat="1">
      <alignment horizontal="center" vertical="center" wrapText="1"/>
    </xf>
    <xf numFmtId="0" fontId="88" fillId="39" borderId="0" xfId="0" applyFont="1" applyFill="1" applyNumberFormat="1">
      <alignment horizontal="center" vertical="center" wrapText="1"/>
    </xf>
    <xf numFmtId="0" fontId="44" fillId="39" borderId="23" xfId="0" applyFont="1" applyFill="1" applyBorder="1" applyNumberFormat="1">
      <alignment horizontal="left" vertical="center" wrapText="1" indent="3"/>
    </xf>
    <xf numFmtId="0" fontId="44" fillId="0" borderId="26" xfId="0" applyFont="1" applyBorder="1" applyNumberFormat="1">
      <alignment horizontal="left" vertical="center" wrapText="1"/>
    </xf>
    <xf numFmtId="0" fontId="27" fillId="0" borderId="66" xfId="0" applyFont="1" applyBorder="1" applyNumberFormat="1">
      <alignment horizontal="center" vertical="center" wrapText="1"/>
    </xf>
    <xf numFmtId="0" fontId="27" fillId="38" borderId="23" xfId="0" applyFont="1" applyFill="1" applyBorder="1" applyNumberFormat="1">
      <alignment horizontal="left" vertical="center" wrapText="1" indent="2"/>
      <protection locked="0"/>
    </xf>
    <xf numFmtId="0" fontId="44" fillId="0" borderId="66" xfId="0" applyFont="1" applyBorder="1" applyNumberFormat="1">
      <alignment horizontal="center" vertical="center" wrapText="1"/>
    </xf>
    <xf numFmtId="0" fontId="44" fillId="0" borderId="23" xfId="0" applyFont="1" applyBorder="1" applyNumberFormat="1">
      <alignment horizontal="left" vertical="center" wrapText="1" indent="2"/>
    </xf>
    <xf numFmtId="0" fontId="27" fillId="0" borderId="23" xfId="0" applyFont="1" applyBorder="1" applyNumberFormat="1">
      <alignment horizontal="left" vertical="center" wrapText="1" indent="3"/>
    </xf>
    <xf numFmtId="0" fontId="27" fillId="35" borderId="23" xfId="0" applyFont="1" applyFill="1" applyBorder="1" applyNumberFormat="1">
      <alignment horizontal="left" vertical="center" wrapText="1"/>
      <protection locked="0"/>
    </xf>
    <xf numFmtId="0" fontId="27" fillId="0" borderId="20" xfId="0" applyFont="1" applyBorder="1" applyNumberFormat="1">
      <alignment vertical="top" wrapText="1"/>
    </xf>
    <xf numFmtId="0" fontId="27" fillId="0" borderId="27" xfId="0" applyFont="1" applyBorder="1" applyNumberFormat="1">
      <alignment vertical="center" wrapText="1"/>
    </xf>
    <xf numFmtId="0" fontId="0" fillId="0" borderId="0" xfId="0" applyFont="1" applyNumberFormat="1">
      <alignment vertical="top"/>
    </xf>
    <xf numFmtId="0" fontId="80" fillId="39" borderId="0" xfId="0" applyFont="1" applyFill="1" applyNumberFormat="1">
      <alignment horizontal="right" vertical="center"/>
    </xf>
    <xf numFmtId="0" fontId="27" fillId="0" borderId="21" xfId="0" applyFont="1" applyBorder="1" applyNumberFormat="1">
      <alignment vertical="center" wrapText="1"/>
    </xf>
    <xf numFmtId="0" fontId="27" fillId="0" borderId="25" xfId="0" applyFont="1" applyBorder="1" applyNumberFormat="1">
      <alignment horizontal="right" vertical="center" wrapText="1" indent="1"/>
    </xf>
    <xf numFmtId="0" fontId="27" fillId="0" borderId="20" xfId="0" applyFont="1" applyBorder="1" applyNumberFormat="1">
      <alignment horizontal="right" vertical="center" wrapText="1" indent="1"/>
    </xf>
    <xf numFmtId="0" fontId="27" fillId="37" borderId="21" xfId="0" applyFont="1" applyFill="1" applyBorder="1" applyNumberFormat="1">
      <alignment horizontal="left" vertical="top" wrapText="1"/>
    </xf>
    <xf numFmtId="0" fontId="27" fillId="0" borderId="21" xfId="0" applyFont="1" applyBorder="1" applyNumberFormat="1">
      <alignment horizontal="right" vertical="center" wrapText="1"/>
    </xf>
    <xf numFmtId="0" fontId="27" fillId="0" borderId="25" xfId="0" applyFont="1" applyBorder="1" applyNumberFormat="1">
      <alignment horizontal="right" vertical="center" wrapText="1"/>
    </xf>
    <xf numFmtId="0" fontId="55" fillId="0" borderId="0" xfId="0" applyFont="1" applyNumberFormat="1">
      <alignment horizontal="center" vertical="center" wrapText="1"/>
    </xf>
    <xf numFmtId="0" fontId="55" fillId="0" borderId="23" xfId="0" applyFont="1" applyBorder="1" applyNumberFormat="1">
      <alignment horizontal="left" vertical="center" wrapText="1" indent="2"/>
    </xf>
    <xf numFmtId="0" fontId="55" fillId="0" borderId="23" xfId="0" applyFont="1" applyBorder="1" applyNumberFormat="1">
      <alignment horizontal="center" vertical="center" wrapText="1"/>
    </xf>
    <xf numFmtId="0" fontId="55" fillId="0" borderId="23" xfId="0" applyFont="1" applyBorder="1" applyNumberFormat="1">
      <alignment vertical="center" wrapText="1"/>
    </xf>
    <xf numFmtId="0" fontId="55" fillId="0" borderId="66" xfId="0" applyFont="1" applyBorder="1" applyNumberFormat="1">
      <alignment horizontal="center" vertical="center" wrapText="1"/>
    </xf>
    <xf numFmtId="0" fontId="55" fillId="0" borderId="23" xfId="0" applyFont="1" applyBorder="1" applyNumberFormat="1">
      <alignment horizontal="left" vertical="center" wrapText="1" indent="3"/>
    </xf>
    <xf numFmtId="0" fontId="27" fillId="41" borderId="25" xfId="0" applyFont="1" applyFill="1" applyBorder="1" applyNumberFormat="1">
      <alignment vertical="center" wrapText="1"/>
    </xf>
    <xf numFmtId="0" fontId="37" fillId="41" borderId="20" xfId="0" applyFont="1" applyFill="1" applyBorder="1" applyNumberFormat="1">
      <alignment vertical="center" wrapText="1"/>
    </xf>
    <xf numFmtId="0" fontId="27" fillId="0" borderId="23" xfId="0" applyFont="1" applyBorder="1" applyNumberFormat="1">
      <alignment horizontal="left" vertical="center" wrapText="1" indent="2"/>
    </xf>
    <xf numFmtId="0" fontId="37" fillId="0" borderId="0" xfId="0" applyFont="1" applyNumberFormat="1">
      <alignment horizontal="left" vertical="center" wrapText="1"/>
    </xf>
    <xf numFmtId="0" fontId="44" fillId="0" borderId="23" xfId="0" applyFont="1" applyBorder="1" applyNumberFormat="1">
      <alignment horizontal="left" vertical="center" wrapText="1" indent="3"/>
    </xf>
    <xf numFmtId="0" fontId="44" fillId="0" borderId="32" xfId="0" applyFont="1" applyBorder="1" applyNumberFormat="1">
      <alignment vertical="top" wrapText="1"/>
    </xf>
    <xf numFmtId="0" fontId="27" fillId="0" borderId="21" xfId="0" applyFont="1" applyBorder="1" applyNumberFormat="1">
      <alignment horizontal="left" vertical="center" wrapText="1" indent="2"/>
    </xf>
    <xf numFmtId="0" fontId="27" fillId="0" borderId="21" xfId="0" applyFont="1" applyBorder="1" applyNumberFormat="1">
      <alignment horizontal="left" vertical="center" wrapText="1" indent="1"/>
    </xf>
    <xf numFmtId="49" fontId="42" fillId="38" borderId="23" xfId="0" applyFont="1" applyFill="1" applyBorder="1" applyNumberFormat="1">
      <alignment horizontal="left" vertical="center" wrapText="1"/>
      <protection locked="0"/>
    </xf>
    <xf numFmtId="49" fontId="42" fillId="38" borderId="20" xfId="0" applyFont="1" applyFill="1" applyBorder="1" applyNumberFormat="1">
      <alignment horizontal="left" vertical="center" wrapText="1"/>
      <protection locked="0"/>
    </xf>
    <xf numFmtId="0" fontId="44" fillId="0" borderId="42" xfId="0" applyFont="1" applyBorder="1" applyNumberFormat="1">
      <alignment horizontal="left" vertical="center" wrapText="1" indent="1"/>
    </xf>
    <xf numFmtId="0" fontId="44" fillId="0" borderId="42" xfId="0" applyFont="1" applyBorder="1" applyNumberFormat="1">
      <alignment horizontal="center" vertical="center" wrapText="1"/>
    </xf>
    <xf numFmtId="0" fontId="44" fillId="0" borderId="32" xfId="0" applyFont="1" applyBorder="1" applyNumberFormat="1">
      <alignment vertical="center" wrapText="1"/>
    </xf>
    <xf numFmtId="0" fontId="27" fillId="0" borderId="30" xfId="0" applyFont="1" applyBorder="1" applyNumberFormat="1">
      <alignment vertical="top" wrapText="1"/>
    </xf>
    <xf numFmtId="0" fontId="44" fillId="0" borderId="30" xfId="0" applyFont="1" applyBorder="1" applyNumberFormat="1">
      <alignment horizontal="left" vertical="center" wrapText="1" indent="1"/>
    </xf>
    <xf numFmtId="0" fontId="44" fillId="0" borderId="32" xfId="0" applyFont="1" applyBorder="1" applyNumberFormat="1">
      <alignment horizontal="left" vertical="center" wrapText="1" indent="1"/>
    </xf>
    <xf numFmtId="0" fontId="67" fillId="0" borderId="0" xfId="0" applyFont="1" applyNumberFormat="1">
      <alignment vertical="center" wrapText="1"/>
    </xf>
    <xf numFmtId="0" fontId="27" fillId="0" borderId="26" xfId="0" applyFont="1" applyBorder="1" applyNumberFormat="1">
      <alignment vertical="center" wrapText="1"/>
    </xf>
    <xf numFmtId="0" fontId="27" fillId="0" borderId="45" xfId="0" applyFont="1" applyBorder="1" applyNumberFormat="1">
      <alignment vertical="center" wrapText="1"/>
    </xf>
    <xf numFmtId="0" fontId="84" fillId="39" borderId="0" xfId="0" applyFont="1" applyFill="1" applyNumberFormat="1">
      <alignment horizontal="right" vertical="center"/>
    </xf>
    <xf numFmtId="0" fontId="23" fillId="0" borderId="0" xfId="0" applyFont="1" applyNumberFormat="1">
      <alignment vertical="top"/>
    </xf>
    <xf numFmtId="0" fontId="23" fillId="0" borderId="21" xfId="0" applyFont="1" applyBorder="1" applyNumberFormat="1">
      <alignment horizontal="right" vertical="center" wrapText="1" indent="1"/>
    </xf>
    <xf numFmtId="0" fontId="23" fillId="0" borderId="25" xfId="0" applyFont="1" applyBorder="1" applyNumberFormat="1">
      <alignment horizontal="right" vertical="center" wrapText="1" indent="1"/>
    </xf>
    <xf numFmtId="0" fontId="23" fillId="0" borderId="20" xfId="0" applyFont="1" applyBorder="1" applyNumberFormat="1">
      <alignment horizontal="right" vertical="center" wrapText="1" indent="1"/>
    </xf>
    <xf numFmtId="0" fontId="27" fillId="0" borderId="20" xfId="0" applyFont="1" applyBorder="1" applyNumberFormat="1">
      <alignment horizontal="left" vertical="center" wrapText="1" indent="1"/>
    </xf>
    <xf numFmtId="0" fontId="76" fillId="0" borderId="0" xfId="0" applyFont="1" applyNumberFormat="1">
      <alignment vertical="top"/>
    </xf>
    <xf numFmtId="0" fontId="77" fillId="0" borderId="0" xfId="0" applyFont="1" applyNumberFormat="1">
      <alignment vertical="top"/>
    </xf>
    <xf numFmtId="0" fontId="27" fillId="0" borderId="30" xfId="0" applyFont="1" applyBorder="1" applyNumberFormat="1">
      <alignment horizontal="left" vertical="center" wrapText="1"/>
    </xf>
    <xf numFmtId="0" fontId="44" fillId="0" borderId="28" xfId="0" applyFont="1" applyBorder="1" applyNumberFormat="1">
      <alignment vertical="center" wrapText="1"/>
    </xf>
    <xf numFmtId="0" fontId="48" fillId="0" borderId="23" xfId="0" applyFont="1" applyBorder="1" applyNumberFormat="1">
      <alignment horizontal="left" vertical="center" indent="1"/>
    </xf>
    <xf numFmtId="0" fontId="0" fillId="0" borderId="0" xfId="0" applyFont="1" applyNumberFormat="1">
      <alignment vertical="top"/>
    </xf>
    <xf numFmtId="0" fontId="37" fillId="53" borderId="23" xfId="0" applyFont="1" applyFill="1" applyBorder="1" applyNumberFormat="1">
      <alignment horizontal="left" vertical="center" wrapText="1"/>
    </xf>
    <xf numFmtId="0" fontId="27" fillId="49" borderId="23" xfId="0" applyFont="1" applyFill="1" applyBorder="1" applyNumberFormat="1">
      <alignment vertical="center"/>
    </xf>
    <xf numFmtId="0" fontId="44" fillId="0" borderId="21" xfId="0" applyFont="1" applyBorder="1" applyNumberFormat="1">
      <alignment vertical="center" wrapText="1"/>
    </xf>
    <xf numFmtId="0" fontId="27" fillId="0" borderId="26" xfId="0" applyFont="1" applyBorder="1" applyNumberFormat="1">
      <alignment horizontal="right" vertical="center" wrapText="1" indent="1"/>
    </xf>
    <xf numFmtId="0" fontId="89" fillId="0" borderId="0" xfId="0" applyFont="1" applyNumberFormat="1">
      <alignment vertical="center" wrapText="1"/>
    </xf>
    <xf numFmtId="0" fontId="37" fillId="41" borderId="25" xfId="0" applyFont="1" applyFill="1" applyBorder="1" applyNumberFormat="1">
      <alignment vertical="center" wrapText="1"/>
    </xf>
    <xf numFmtId="0" fontId="27" fillId="0" borderId="23" xfId="0" applyFont="1" applyBorder="1" applyNumberFormat="1">
      <alignment vertical="top" wrapText="1"/>
    </xf>
    <xf numFmtId="0" fontId="27" fillId="39" borderId="0" xfId="0" applyFont="1" applyFill="1" applyNumberFormat="1">
      <alignment horizontal="right" vertical="center" wrapText="1"/>
    </xf>
    <xf numFmtId="0" fontId="27" fillId="39" borderId="0" xfId="0" applyFont="1" applyFill="1" applyNumberFormat="1">
      <alignment horizontal="right" vertical="center"/>
    </xf>
    <xf numFmtId="0" fontId="27" fillId="39" borderId="21" xfId="0" applyFont="1" applyFill="1" applyBorder="1" applyNumberFormat="1">
      <alignment horizontal="center" vertical="center" wrapText="1"/>
    </xf>
    <xf numFmtId="0" fontId="27" fillId="39" borderId="25" xfId="0" applyFont="1" applyFill="1" applyBorder="1" applyNumberFormat="1">
      <alignment horizontal="center" vertical="center" wrapText="1"/>
    </xf>
    <xf numFmtId="0" fontId="27" fillId="39" borderId="27" xfId="0" applyFont="1" applyFill="1" applyBorder="1" applyNumberFormat="1">
      <alignment horizontal="center" vertical="center" wrapText="1"/>
    </xf>
    <xf numFmtId="0" fontId="27" fillId="39" borderId="23" xfId="0" applyFont="1" applyFill="1" applyBorder="1" applyNumberFormat="1">
      <alignment horizontal="center" vertical="center"/>
    </xf>
    <xf numFmtId="0" fontId="23" fillId="0" borderId="23" xfId="0" applyFont="1" applyBorder="1" applyNumberFormat="1">
      <alignment horizontal="left" vertical="top" wrapText="1"/>
    </xf>
    <xf numFmtId="0" fontId="23" fillId="0" borderId="23" xfId="0" applyFont="1" applyBorder="1" applyNumberFormat="1">
      <alignment horizontal="left" vertical="center" wrapText="1"/>
    </xf>
    <xf numFmtId="0" fontId="27" fillId="41" borderId="21" xfId="0" applyFont="1" applyFill="1" applyBorder="1" applyNumberFormat="1">
      <alignment vertical="center" wrapText="1"/>
    </xf>
    <xf numFmtId="0" fontId="44" fillId="0" borderId="25" xfId="0" applyFont="1" applyBorder="1" applyNumberFormat="1">
      <alignment horizontal="right" vertical="center" wrapText="1" indent="1"/>
    </xf>
    <xf numFmtId="0" fontId="44" fillId="0" borderId="20" xfId="0" applyFont="1" applyBorder="1" applyNumberFormat="1">
      <alignment horizontal="right" vertical="center" wrapText="1" indent="1"/>
    </xf>
    <xf numFmtId="0" fontId="44" fillId="0" borderId="21" xfId="0" applyFont="1" applyBorder="1" applyNumberFormat="1">
      <alignment horizontal="left" vertical="top" wrapText="1"/>
    </xf>
    <xf numFmtId="0" fontId="27" fillId="0" borderId="0" xfId="0" applyFont="1" applyNumberFormat="1">
      <alignment horizontal="right" vertical="top" wrapText="1"/>
    </xf>
    <xf numFmtId="0" fontId="27" fillId="0" borderId="0" xfId="0" applyFont="1" applyNumberFormat="1">
      <alignment horizontal="left" vertical="top" wrapText="1"/>
    </xf>
    <xf numFmtId="0" fontId="44" fillId="0" borderId="45" xfId="0" applyFont="1" applyBorder="1" applyNumberFormat="1">
      <alignment vertical="center" wrapText="1"/>
    </xf>
    <xf numFmtId="0" fontId="27" fillId="37" borderId="20" xfId="0" applyFont="1" applyFill="1" applyBorder="1" applyNumberFormat="1">
      <alignment horizontal="left" vertical="top" wrapText="1"/>
    </xf>
    <xf numFmtId="0" fontId="90" fillId="0" borderId="28" xfId="0" applyFont="1" applyBorder="1" applyNumberFormat="1">
      <alignment vertical="center" wrapText="1"/>
    </xf>
    <xf numFmtId="4" fontId="27" fillId="35" borderId="21" xfId="0" applyFont="1" applyFill="1" applyBorder="1" applyNumberFormat="1">
      <alignment horizontal="right" vertical="center" wrapText="1"/>
      <protection locked="0"/>
    </xf>
    <xf numFmtId="4" fontId="27" fillId="35" borderId="23" xfId="0" applyFont="1" applyFill="1" applyBorder="1" applyNumberFormat="1">
      <alignment horizontal="left" vertical="center" wrapText="1"/>
      <protection locked="0"/>
    </xf>
    <xf numFmtId="4" fontId="27" fillId="35" borderId="21" xfId="0" applyFont="1" applyFill="1" applyBorder="1" applyNumberFormat="1">
      <alignment horizontal="left" vertical="center" wrapText="1"/>
      <protection locked="0"/>
    </xf>
    <xf numFmtId="0" fontId="27" fillId="0" borderId="0" xfId="0" applyFont="1" applyNumberFormat="1">
      <alignment vertical="top" wrapText="1"/>
    </xf>
    <xf numFmtId="0" fontId="27" fillId="0" borderId="0" xfId="0" applyFont="1" applyNumberFormat="1">
      <alignment vertical="top"/>
    </xf>
    <xf numFmtId="0" fontId="27" fillId="0" borderId="52" xfId="0" applyFont="1" applyBorder="1" applyNumberFormat="1">
      <alignment horizontal="left" vertical="center" wrapText="1"/>
    </xf>
    <xf numFmtId="0" fontId="27" fillId="0" borderId="54" xfId="0" applyFont="1" applyBorder="1" applyNumberFormat="1">
      <alignment horizontal="left" vertical="center" wrapText="1" indent="1"/>
    </xf>
    <xf numFmtId="0" fontId="27" fillId="0" borderId="54" xfId="0" applyFont="1" applyBorder="1" applyNumberFormat="1">
      <alignment horizontal="left" vertical="center" wrapText="1"/>
    </xf>
    <xf numFmtId="0" fontId="27" fillId="0" borderId="49" xfId="0" applyFont="1" applyBorder="1" applyNumberFormat="1">
      <alignment horizontal="left" vertical="center" wrapText="1" indent="1"/>
    </xf>
    <xf numFmtId="0" fontId="27" fillId="0" borderId="49" xfId="0" applyFont="1" applyBorder="1" applyNumberFormat="1">
      <alignment horizontal="left" vertical="center" wrapText="1"/>
    </xf>
    <xf numFmtId="0" fontId="27" fillId="0" borderId="49" xfId="0" applyFont="1" applyBorder="1" applyNumberFormat="1">
      <alignment horizontal="left" vertical="center" wrapText="1" indent="2"/>
    </xf>
    <xf numFmtId="0" fontId="27" fillId="0" borderId="71" xfId="0" applyFont="1" applyBorder="1" applyNumberFormat="1">
      <alignment horizontal="left" vertical="center" wrapText="1"/>
    </xf>
    <xf numFmtId="0" fontId="47" fillId="0" borderId="29" xfId="0" applyFont="1" applyBorder="1" applyNumberFormat="1">
      <alignment horizontal="center" vertical="center" wrapText="1"/>
    </xf>
    <xf numFmtId="0" fontId="23" fillId="0" borderId="21" xfId="0" applyFont="1" applyBorder="1" applyNumberFormat="1">
      <alignment horizontal="center" vertical="center"/>
    </xf>
    <xf numFmtId="0" fontId="27" fillId="37" borderId="21" xfId="0" applyFont="1" applyFill="1" applyBorder="1" applyNumberFormat="1">
      <alignment horizontal="left" vertical="top" wrapText="1" indent="1"/>
    </xf>
    <xf numFmtId="0" fontId="27" fillId="37" borderId="20" xfId="0" applyFont="1" applyFill="1" applyBorder="1" applyNumberFormat="1">
      <alignment horizontal="left" vertical="top" wrapText="1" indent="1"/>
    </xf>
    <xf numFmtId="0" fontId="27" fillId="41" borderId="26" xfId="0" applyFont="1" applyFill="1" applyBorder="1" applyNumberFormat="1">
      <alignment vertical="center" wrapText="1"/>
    </xf>
    <xf numFmtId="0" fontId="27" fillId="0" borderId="20" xfId="0" applyFont="1" applyBorder="1" applyNumberFormat="1">
      <alignment vertical="center" wrapText="1"/>
    </xf>
    <xf numFmtId="0" fontId="27" fillId="41" borderId="45" xfId="0" applyFont="1" applyFill="1" applyBorder="1" applyNumberFormat="1">
      <alignment vertical="center" wrapText="1"/>
    </xf>
    <xf numFmtId="0" fontId="47" fillId="0" borderId="0" xfId="0" applyFont="1" applyNumberFormat="1">
      <alignment horizontal="center" vertical="center" wrapText="1"/>
    </xf>
    <xf numFmtId="0" fontId="87" fillId="0" borderId="0" xfId="0" applyFont="1" applyNumberFormat="1">
      <alignment vertical="center" wrapText="1"/>
    </xf>
    <xf numFmtId="0" fontId="23" fillId="39" borderId="32" xfId="0" applyFont="1" applyFill="1" applyBorder="1" applyNumberFormat="1">
      <alignment horizontal="center" vertical="center" wrapText="1"/>
    </xf>
    <xf numFmtId="0" fontId="23" fillId="0" borderId="23" xfId="0" applyFont="1" applyBorder="1" applyNumberFormat="1">
      <alignment horizontal="left" vertical="center" wrapText="1" indent="1"/>
    </xf>
    <xf numFmtId="0" fontId="27" fillId="41" borderId="34" xfId="0" applyFont="1" applyFill="1" applyBorder="1" applyNumberFormat="1">
      <alignment vertical="center" wrapText="1"/>
    </xf>
    <xf numFmtId="0" fontId="27" fillId="39" borderId="19" xfId="0" applyFont="1" applyFill="1" applyBorder="1" applyNumberFormat="1">
      <alignment vertical="center" wrapText="1"/>
    </xf>
    <xf numFmtId="0" fontId="31" fillId="39" borderId="19" xfId="0" applyFont="1" applyFill="1" applyBorder="1" applyNumberFormat="1">
      <alignment horizontal="center" wrapText="1"/>
    </xf>
    <xf numFmtId="0" fontId="27" fillId="0" borderId="15" xfId="0" applyFont="1" applyBorder="1" applyNumberFormat="1">
      <alignment horizontal="center" vertical="center"/>
    </xf>
    <xf numFmtId="0" fontId="27" fillId="0" borderId="16" xfId="0" applyFont="1" applyBorder="1" applyNumberFormat="1">
      <alignment horizontal="center" vertical="center"/>
    </xf>
    <xf numFmtId="0" fontId="27" fillId="0" borderId="17" xfId="0" applyFont="1" applyBorder="1" applyNumberFormat="1">
      <alignment horizontal="center" vertical="center"/>
    </xf>
    <xf numFmtId="0" fontId="27" fillId="0" borderId="13" xfId="0" applyFont="1" applyBorder="1" applyNumberFormat="1">
      <alignment vertical="center" wrapText="1"/>
    </xf>
    <xf numFmtId="0" fontId="27" fillId="39" borderId="26" xfId="0" applyFont="1" applyFill="1" applyBorder="1" applyNumberFormat="1">
      <alignment vertical="center" wrapText="1"/>
    </xf>
    <xf numFmtId="0" fontId="44" fillId="0" borderId="19" xfId="0" applyFont="1" applyBorder="1" applyNumberFormat="1">
      <alignment vertical="center" wrapText="1"/>
    </xf>
    <xf numFmtId="0" fontId="27" fillId="0" borderId="72" xfId="0" applyFont="1" applyBorder="1" applyNumberFormat="1">
      <alignment horizontal="center" vertical="center"/>
    </xf>
    <xf numFmtId="0" fontId="27" fillId="0" borderId="44" xfId="0" applyFont="1" applyBorder="1" applyNumberFormat="1">
      <alignment horizontal="center" vertical="center"/>
    </xf>
    <xf numFmtId="0" fontId="27" fillId="0" borderId="13" xfId="0" applyFont="1" applyBorder="1" applyNumberFormat="1">
      <alignment vertical="center"/>
    </xf>
    <xf numFmtId="0" fontId="23" fillId="37" borderId="23" xfId="0" applyFont="1" applyFill="1" applyBorder="1" applyNumberFormat="1">
      <alignment horizontal="center" vertical="center" wrapText="1"/>
    </xf>
    <xf numFmtId="0" fontId="27" fillId="0" borderId="28" xfId="0" applyFont="1" applyBorder="1" applyNumberFormat="1">
      <alignment vertical="center" wrapText="1"/>
    </xf>
    <xf numFmtId="0" fontId="27" fillId="0" borderId="27" xfId="0" applyFont="1" applyBorder="1" applyNumberFormat="1">
      <alignment horizontal="left" vertical="top" wrapText="1"/>
    </xf>
    <xf numFmtId="0" fontId="27" fillId="45" borderId="21" xfId="0" applyFont="1" applyFill="1" applyBorder="1" applyNumberFormat="1">
      <alignment horizontal="center" vertical="center" wrapText="1"/>
    </xf>
    <xf numFmtId="0" fontId="27" fillId="45" borderId="25" xfId="0" applyFont="1" applyFill="1" applyBorder="1" applyNumberFormat="1">
      <alignment horizontal="center" vertical="center" wrapText="1"/>
    </xf>
    <xf numFmtId="0" fontId="27" fillId="45" borderId="20" xfId="0" applyFont="1" applyFill="1" applyBorder="1" applyNumberFormat="1">
      <alignment horizontal="center" vertical="center" wrapText="1"/>
    </xf>
    <xf numFmtId="0" fontId="27" fillId="43" borderId="23" xfId="0" applyFont="1" applyFill="1" applyBorder="1" applyNumberFormat="1">
      <alignment horizontal="center" vertical="center" wrapText="1"/>
    </xf>
    <xf numFmtId="0" fontId="27" fillId="43" borderId="21" xfId="0" applyFont="1" applyFill="1" applyBorder="1" applyNumberFormat="1">
      <alignment horizontal="center" vertical="center" wrapText="1"/>
    </xf>
    <xf numFmtId="0" fontId="27" fillId="39" borderId="20" xfId="0" applyFont="1" applyFill="1" applyBorder="1" applyNumberFormat="1">
      <alignment horizontal="center" vertical="center" wrapText="1"/>
    </xf>
    <xf numFmtId="0" fontId="27" fillId="43" borderId="20" xfId="0" applyFont="1" applyFill="1" applyBorder="1" applyNumberFormat="1">
      <alignment horizontal="center" vertical="center" wrapText="1"/>
    </xf>
    <xf numFmtId="0" fontId="47" fillId="0" borderId="23" xfId="0" applyFont="1" applyBorder="1" applyNumberFormat="1">
      <alignment horizontal="center" vertical="center"/>
    </xf>
    <xf numFmtId="0" fontId="27" fillId="0" borderId="32" xfId="0" applyFont="1" applyBorder="1" applyNumberFormat="1">
      <alignment horizontal="right" vertical="center"/>
    </xf>
    <xf numFmtId="0" fontId="27" fillId="0" borderId="32" xfId="0" applyFont="1" applyBorder="1" applyNumberFormat="1">
      <alignment horizontal="center" vertical="center"/>
    </xf>
    <xf numFmtId="0" fontId="27" fillId="0" borderId="23" xfId="0" applyFont="1" applyBorder="1" applyNumberFormat="1">
      <alignment horizontal="right" vertical="center"/>
    </xf>
    <xf numFmtId="0" fontId="37" fillId="0" borderId="23" xfId="0" applyFont="1" applyBorder="1" applyNumberFormat="1">
      <alignment vertical="top" wrapText="1"/>
    </xf>
    <xf numFmtId="0" fontId="23" fillId="0" borderId="23" xfId="0" applyFont="1" applyBorder="1" applyNumberFormat="1">
      <alignment vertical="center" wrapText="1"/>
    </xf>
    <xf numFmtId="0" fontId="23" fillId="38" borderId="23" xfId="0" applyFont="1" applyFill="1" applyBorder="1" applyNumberFormat="1">
      <alignment horizontal="left" vertical="center" wrapText="1" indent="2"/>
      <protection locked="0"/>
    </xf>
    <xf numFmtId="0" fontId="56" fillId="0" borderId="23" xfId="0" applyFont="1" applyBorder="1" applyNumberFormat="1">
      <alignment horizontal="left" vertical="center" wrapText="1" indent="2"/>
    </xf>
    <xf numFmtId="0" fontId="27" fillId="0" borderId="32" xfId="0" applyFont="1" applyBorder="1" applyNumberFormat="1">
      <alignment vertical="top" wrapText="1"/>
    </xf>
    <xf numFmtId="0" fontId="23" fillId="38" borderId="23" xfId="0" applyFont="1" applyFill="1" applyBorder="1" applyNumberFormat="1">
      <alignment horizontal="left" vertical="center" wrapText="1"/>
      <protection locked="0"/>
    </xf>
    <xf numFmtId="0" fontId="23" fillId="0" borderId="23" xfId="0" applyFont="1" applyBorder="1" applyNumberFormat="1">
      <alignment horizontal="left" vertical="center" wrapText="1" indent="2"/>
    </xf>
    <xf numFmtId="0" fontId="27" fillId="0" borderId="25" xfId="0" applyFont="1" applyBorder="1" applyNumberFormat="1">
      <alignment horizontal="left" vertical="top" wrapText="1" indent="1"/>
    </xf>
    <xf numFmtId="0" fontId="23" fillId="39" borderId="21" xfId="0" applyFont="1" applyFill="1" applyBorder="1" applyNumberFormat="1">
      <alignment horizontal="right" vertical="center" wrapText="1" indent="1"/>
    </xf>
    <xf numFmtId="0" fontId="23" fillId="0" borderId="32" xfId="0" applyFont="1" applyBorder="1" applyNumberFormat="1">
      <alignment horizontal="left" vertical="center" wrapText="1"/>
    </xf>
    <xf numFmtId="0" fontId="70" fillId="39" borderId="0" xfId="0" applyFont="1" applyFill="1" applyNumberFormat="1">
      <alignment horizontal="center" vertical="top" wrapText="1"/>
    </xf>
    <xf numFmtId="0" fontId="23" fillId="37" borderId="21" xfId="0" applyFont="1" applyFill="1" applyBorder="1" applyNumberFormat="1">
      <alignment horizontal="left" vertical="center" wrapText="1" indent="1"/>
    </xf>
    <xf numFmtId="0" fontId="70" fillId="39" borderId="29" xfId="0" applyFont="1" applyFill="1" applyBorder="1" applyNumberFormat="1">
      <alignment horizontal="center" vertical="top" wrapText="1"/>
    </xf>
    <xf numFmtId="0" fontId="23" fillId="37" borderId="30" xfId="0" applyFont="1" applyFill="1" applyBorder="1" applyNumberFormat="1">
      <alignment horizontal="left" vertical="center" wrapText="1" indent="1"/>
    </xf>
    <xf numFmtId="0" fontId="27" fillId="0" borderId="26" xfId="0" applyFont="1" applyBorder="1" applyNumberFormat="1">
      <alignment horizontal="left" vertical="top" wrapText="1"/>
    </xf>
    <xf numFmtId="0" fontId="23" fillId="45" borderId="23" xfId="0" applyFont="1" applyFill="1" applyBorder="1" applyNumberFormat="1">
      <alignment horizontal="center" vertical="center"/>
    </xf>
    <xf numFmtId="0" fontId="27" fillId="0" borderId="23" xfId="0" applyFont="1" applyBorder="1" applyNumberFormat="1">
      <alignment vertical="center"/>
    </xf>
    <xf numFmtId="0" fontId="23" fillId="0" borderId="23" xfId="0" applyFont="1" applyBorder="1" applyNumberFormat="1">
      <alignment vertical="center"/>
    </xf>
    <xf numFmtId="0" fontId="23" fillId="0" borderId="21" xfId="0" applyFont="1" applyBorder="1" applyNumberFormat="1">
      <alignment vertical="center"/>
    </xf>
    <xf numFmtId="0" fontId="27" fillId="0" borderId="21" xfId="0" applyFont="1" applyBorder="1" applyNumberFormat="1">
      <alignment horizontal="left" vertical="center"/>
    </xf>
    <xf numFmtId="0" fontId="23" fillId="0" borderId="20" xfId="0" applyFont="1" applyBorder="1" applyNumberFormat="1">
      <alignment vertical="center"/>
    </xf>
    <xf numFmtId="0" fontId="23" fillId="0" borderId="23" xfId="0" applyFont="1" applyBorder="1" applyNumberFormat="1">
      <alignment horizontal="right" vertical="top"/>
    </xf>
    <xf numFmtId="0" fontId="23" fillId="0" borderId="23" xfId="0" applyFont="1" applyBorder="1" applyNumberFormat="1">
      <alignment vertical="top"/>
    </xf>
    <xf numFmtId="0" fontId="27" fillId="0" borderId="20" xfId="0" applyFont="1" applyBorder="1" applyNumberFormat="1">
      <alignment vertical="center"/>
    </xf>
    <xf numFmtId="0" fontId="27" fillId="0" borderId="23" xfId="0" applyFont="1" applyBorder="1" applyNumberFormat="1">
      <alignment vertical="top"/>
    </xf>
    <xf numFmtId="0" fontId="23" fillId="48" borderId="0" xfId="0" applyFont="1" applyFill="1" applyNumberFormat="1">
      <alignment horizontal="right" vertical="center"/>
    </xf>
    <xf numFmtId="0" fontId="23" fillId="48" borderId="0" xfId="0" applyFont="1" applyFill="1" applyNumberFormat="1">
      <alignment horizontal="left" vertical="center"/>
    </xf>
    <xf numFmtId="0" fontId="23" fillId="0" borderId="0" xfId="0" applyFont="1" applyNumberFormat="1">
      <alignment horizontal="right" vertical="top"/>
    </xf>
    <xf numFmtId="0" fontId="67" fillId="48" borderId="0" xfId="0" applyFont="1" applyFill="1" applyNumberFormat="1">
      <alignment horizontal="left" vertical="center"/>
    </xf>
    <xf numFmtId="0" fontId="23" fillId="0" borderId="21" xfId="0" applyFont="1" applyBorder="1" applyNumberFormat="1">
      <alignment horizontal="left" vertical="center"/>
    </xf>
    <xf numFmtId="0" fontId="23" fillId="0" borderId="32" xfId="0" applyFont="1" applyBorder="1" applyNumberFormat="1">
      <alignment vertical="top"/>
    </xf>
    <xf numFmtId="0" fontId="27" fillId="0" borderId="32" xfId="0" applyFont="1" applyBorder="1" applyNumberFormat="1">
      <alignment vertical="center"/>
    </xf>
    <xf numFmtId="0" fontId="27" fillId="48" borderId="0" xfId="0" applyFont="1" applyFill="1" applyNumberFormat="1">
      <alignment horizontal="left" vertical="center"/>
    </xf>
    <xf numFmtId="0" fontId="23" fillId="48" borderId="50" xfId="0" applyFont="1" applyFill="1" applyBorder="1" applyNumberFormat="1">
      <alignment horizontal="center"/>
    </xf>
    <xf numFmtId="0" fontId="23" fillId="0" borderId="50" xfId="0" applyFont="1" applyBorder="1" applyNumberFormat="1">
      <alignment horizontal="center"/>
    </xf>
    <xf numFmtId="0" fontId="23" fillId="37" borderId="49" xfId="0" applyFont="1" applyFill="1" applyBorder="1" applyNumberFormat="1">
      <alignment horizontal="center" vertical="center"/>
    </xf>
    <xf numFmtId="0" fontId="20" fillId="0" borderId="51" xfId="0" applyFont="1" applyBorder="1" applyNumberFormat="1">
      <alignment horizontal="center" vertical="center"/>
    </xf>
    <xf numFmtId="0" fontId="23" fillId="0" borderId="51" xfId="0" applyFont="1" applyBorder="1" applyNumberFormat="1">
      <alignment horizontal="center" vertical="center"/>
    </xf>
    <xf numFmtId="0" fontId="23" fillId="43" borderId="23" xfId="0" applyFont="1" applyFill="1" applyBorder="1" applyNumberFormat="1">
      <alignment horizontal="right" vertical="center"/>
    </xf>
    <xf numFmtId="0" fontId="27" fillId="37" borderId="35" xfId="0" applyFont="1" applyFill="1" applyBorder="1" applyNumberFormat="1">
      <alignment horizontal="center" vertical="top"/>
    </xf>
    <xf numFmtId="0" fontId="27" fillId="37" borderId="35" xfId="0" applyFont="1" applyFill="1" applyBorder="1" applyNumberFormat="1">
      <alignment horizontal="left" vertical="top"/>
    </xf>
    <xf numFmtId="0" fontId="23" fillId="0" borderId="52" xfId="0" applyFont="1" applyBorder="1" applyNumberFormat="1">
      <alignment horizontal="center" vertical="center"/>
    </xf>
    <xf numFmtId="0" fontId="23" fillId="0" borderId="53" xfId="0" applyFont="1" applyBorder="1" applyNumberFormat="1">
      <alignment horizontal="center" vertical="center"/>
    </xf>
    <xf numFmtId="0" fontId="27" fillId="0" borderId="23" xfId="0" applyFont="1" applyBorder="1" applyNumberFormat="1">
      <alignment horizontal="left" vertical="top"/>
    </xf>
    <xf numFmtId="0" fontId="23" fillId="0" borderId="54" xfId="0" applyFont="1" applyBorder="1" applyNumberFormat="1">
      <alignment horizontal="center" vertical="center"/>
    </xf>
    <xf numFmtId="0" fontId="23" fillId="48" borderId="0" xfId="0" applyFont="1" applyFill="1" applyNumberFormat="1">
      <alignment horizontal="right" vertical="top" wrapText="1"/>
    </xf>
    <xf numFmtId="0" fontId="37" fillId="39" borderId="0" xfId="0" applyFont="1" applyFill="1" applyNumberFormat="1"/>
    <xf numFmtId="0" fontId="94" fillId="39" borderId="0" xfId="0" applyFont="1" applyFill="1" applyNumberFormat="1"/>
    <xf numFmtId="0" fontId="44" fillId="39" borderId="0" xfId="0" applyFont="1" applyFill="1" applyNumberFormat="1">
      <alignment horizontal="center" vertical="center" wrapText="1"/>
    </xf>
    <xf numFmtId="0" fontId="23" fillId="39" borderId="32" xfId="0" applyFont="1" applyFill="1" applyBorder="1" applyNumberFormat="1">
      <alignment horizontal="left" vertical="top" wrapText="1"/>
    </xf>
    <xf numFmtId="0" fontId="55" fillId="39" borderId="0" xfId="0" applyFont="1" applyFill="1" applyNumberFormat="1">
      <alignment vertical="center" wrapText="1"/>
    </xf>
    <xf numFmtId="0" fontId="44" fillId="39" borderId="23" xfId="0" applyFont="1" applyFill="1" applyBorder="1" applyNumberFormat="1">
      <alignment horizontal="center" vertical="center"/>
    </xf>
    <xf numFmtId="0" fontId="23" fillId="39" borderId="42" xfId="0" applyFont="1" applyFill="1" applyBorder="1" applyNumberFormat="1">
      <alignment horizontal="left" vertical="top" wrapText="1"/>
    </xf>
    <xf numFmtId="0" fontId="56" fillId="39" borderId="0" xfId="0" applyFont="1" applyFill="1" applyNumberFormat="1"/>
    <xf numFmtId="0" fontId="23" fillId="39" borderId="30" xfId="0" applyFont="1" applyFill="1" applyBorder="1" applyNumberFormat="1">
      <alignment horizontal="left" vertical="top" wrapText="1"/>
    </xf>
    <xf numFmtId="0" fontId="89" fillId="39" borderId="0" xfId="0" applyFont="1" applyFill="1" applyNumberFormat="1"/>
    <xf numFmtId="0" fontId="27" fillId="39" borderId="23" xfId="0" applyFont="1" applyFill="1" applyBorder="1" applyNumberFormat="1">
      <alignment horizontal="left" vertical="top" wrapText="1"/>
    </xf>
    <xf numFmtId="0" fontId="27" fillId="39" borderId="23" xfId="0" applyFont="1" applyFill="1" applyBorder="1" applyNumberFormat="1">
      <alignment vertical="top" wrapText="1"/>
    </xf>
    <xf numFmtId="0" fontId="37" fillId="0" borderId="42" xfId="0" applyFont="1" applyBorder="1" applyNumberFormat="1">
      <alignment horizontal="left" vertical="center" wrapText="1" indent="1"/>
    </xf>
    <xf numFmtId="0" fontId="95" fillId="0" borderId="0" xfId="0" applyFont="1" applyNumberFormat="1">
      <alignment vertical="center"/>
    </xf>
    <xf numFmtId="0" fontId="27" fillId="37" borderId="30" xfId="0" applyFont="1" applyFill="1" applyBorder="1" applyNumberFormat="1">
      <alignment horizontal="left" vertical="center" wrapText="1" indent="1"/>
    </xf>
    <xf numFmtId="0" fontId="27" fillId="0" borderId="34" xfId="0" applyFont="1" applyBorder="1" applyNumberFormat="1">
      <alignment horizontal="left" vertical="top" wrapText="1"/>
    </xf>
    <xf numFmtId="0" fontId="27" fillId="39" borderId="42" xfId="0" applyFont="1" applyFill="1" applyBorder="1" applyNumberFormat="1">
      <alignment vertical="center" wrapText="1"/>
    </xf>
    <xf numFmtId="0" fontId="44" fillId="0" borderId="45" xfId="0" applyFont="1" applyBorder="1" applyNumberFormat="1">
      <alignment horizontal="center" vertical="center" wrapText="1"/>
    </xf>
    <xf numFmtId="0" fontId="27" fillId="39" borderId="28" xfId="0" applyFont="1" applyFill="1" applyBorder="1" applyNumberFormat="1">
      <alignment vertical="center" wrapText="1"/>
    </xf>
    <xf numFmtId="0" fontId="27" fillId="0" borderId="25" xfId="0" applyFont="1" applyBorder="1" applyNumberFormat="1">
      <alignment horizontal="left" vertical="center" wrapText="1"/>
    </xf>
    <xf numFmtId="0" fontId="46" fillId="0" borderId="0" xfId="0" applyFont="1" applyNumberFormat="1">
      <alignment horizontal="center" vertical="center" wrapText="1"/>
    </xf>
    <xf numFmtId="0" fontId="27" fillId="37" borderId="34" xfId="0" applyFont="1" applyFill="1" applyBorder="1" applyNumberFormat="1">
      <alignment horizontal="left" vertical="center" wrapText="1"/>
    </xf>
    <xf numFmtId="0" fontId="93" fillId="39" borderId="0" xfId="0" applyFont="1" applyFill="1" applyNumberFormat="1">
      <alignment horizontal="center" vertical="center" wrapText="1"/>
    </xf>
    <xf numFmtId="0" fontId="28" fillId="39" borderId="0" xfId="0" applyFont="1" applyFill="1" applyNumberFormat="1"/>
    <xf numFmtId="0" fontId="27" fillId="0" borderId="0" xfId="0" applyFont="1" applyNumberFormat="1"/>
    <xf numFmtId="0" fontId="50" fillId="39" borderId="0" xfId="0" applyFont="1" applyFill="1" applyNumberFormat="1">
      <alignment horizontal="center" vertical="center"/>
    </xf>
    <xf numFmtId="0" fontId="27" fillId="39" borderId="32" xfId="0" applyFont="1" applyFill="1" applyBorder="1" applyNumberFormat="1">
      <alignment horizontal="center" vertical="center"/>
    </xf>
    <xf numFmtId="0" fontId="50" fillId="0" borderId="0" xfId="0" applyFont="1" applyNumberFormat="1">
      <alignment horizontal="center" vertical="center"/>
    </xf>
    <xf numFmtId="0" fontId="50" fillId="39" borderId="0" xfId="0" applyFont="1" applyFill="1" applyNumberFormat="1">
      <alignment horizontal="center"/>
    </xf>
    <xf numFmtId="0" fontId="47" fillId="0" borderId="0" xfId="0" applyFont="1" applyNumberFormat="1">
      <alignment vertical="top" wrapText="1"/>
    </xf>
    <xf numFmtId="0" fontId="53" fillId="0" borderId="23" xfId="0" applyFont="1" applyBorder="1" applyNumberFormat="1">
      <alignment horizontal="left" vertical="center" wrapText="1" indent="1"/>
    </xf>
    <xf numFmtId="0" fontId="54" fillId="0" borderId="32" xfId="0" applyFont="1" applyBorder="1" applyNumberFormat="1">
      <alignment horizontal="center" vertical="center" wrapText="1"/>
    </xf>
    <xf numFmtId="0" fontId="53" fillId="0" borderId="23" xfId="0" applyFont="1" applyBorder="1" applyNumberFormat="1">
      <alignment horizontal="left" vertical="top" indent="1"/>
    </xf>
    <xf numFmtId="0" fontId="27" fillId="39" borderId="0" xfId="0" applyFont="1" applyFill="1" applyNumberFormat="1">
      <alignment horizontal="center" vertical="top" wrapText="1"/>
    </xf>
    <xf numFmtId="0" fontId="44" fillId="39" borderId="23" xfId="0" applyFont="1" applyFill="1" applyBorder="1" applyNumberFormat="1">
      <alignment horizontal="center" vertical="center" wrapText="1"/>
    </xf>
    <xf numFmtId="0" fontId="23" fillId="38" borderId="21" xfId="0" applyFont="1" applyFill="1" applyBorder="1" applyNumberFormat="1">
      <alignment horizontal="left" vertical="center" wrapText="1" indent="2"/>
      <protection locked="0"/>
    </xf>
    <xf numFmtId="0" fontId="50" fillId="0" borderId="29" xfId="0" applyFont="1" applyBorder="1" applyNumberFormat="1">
      <alignment horizontal="center" vertical="center" wrapText="1"/>
    </xf>
    <xf numFmtId="0" fontId="23" fillId="37" borderId="23" xfId="0" applyFont="1" applyFill="1" applyBorder="1" applyNumberFormat="1">
      <alignment horizontal="left" vertical="top" wrapText="1" indent="1"/>
    </xf>
    <xf numFmtId="0" fontId="27" fillId="37" borderId="23" xfId="0" applyFont="1" applyFill="1" applyBorder="1" applyNumberFormat="1">
      <alignment horizontal="center" vertical="top" wrapText="1"/>
    </xf>
    <xf numFmtId="0" fontId="27" fillId="35" borderId="23" xfId="0" applyFont="1" applyFill="1" applyBorder="1" applyNumberFormat="1">
      <alignment horizontal="left" vertical="top" wrapText="1"/>
      <protection locked="0"/>
    </xf>
    <xf numFmtId="0" fontId="27" fillId="0" borderId="29" xfId="0" applyFont="1" applyBorder="1" applyNumberFormat="1">
      <alignment vertical="top" wrapText="1"/>
    </xf>
    <xf numFmtId="0" fontId="23" fillId="37" borderId="42" xfId="0" applyFont="1" applyFill="1" applyBorder="1" applyNumberFormat="1">
      <alignment horizontal="left" vertical="top" wrapText="1" indent="1"/>
    </xf>
    <xf numFmtId="0" fontId="27" fillId="37" borderId="42" xfId="0" applyFont="1" applyFill="1" applyBorder="1" applyNumberFormat="1">
      <alignment horizontal="center" vertical="top" wrapText="1"/>
    </xf>
    <xf numFmtId="0" fontId="27" fillId="35" borderId="42" xfId="0" applyFont="1" applyFill="1" applyBorder="1" applyNumberFormat="1">
      <alignment horizontal="left" vertical="top" wrapText="1"/>
      <protection locked="0"/>
    </xf>
    <xf numFmtId="0" fontId="71" fillId="0" borderId="55" xfId="0" applyFont="1" applyBorder="1" applyNumberFormat="1">
      <alignment horizontal="left" vertical="center" indent="1"/>
    </xf>
    <xf numFmtId="0" fontId="71" fillId="0" borderId="56" xfId="0" applyFont="1" applyBorder="1" applyNumberFormat="1">
      <alignment horizontal="left" vertical="center" indent="1"/>
    </xf>
    <xf numFmtId="0" fontId="23" fillId="0" borderId="56" xfId="0" applyFont="1" applyBorder="1" applyNumberFormat="1">
      <alignment horizontal="left" vertical="center" wrapText="1"/>
    </xf>
    <xf numFmtId="0" fontId="27" fillId="0" borderId="56" xfId="0" applyFont="1" applyBorder="1" applyNumberFormat="1">
      <alignment vertical="center" wrapText="1"/>
    </xf>
    <xf numFmtId="0" fontId="27" fillId="0" borderId="57" xfId="0" applyFont="1" applyBorder="1" applyNumberFormat="1">
      <alignment vertical="center" wrapText="1"/>
    </xf>
    <xf numFmtId="0" fontId="27" fillId="0" borderId="58" xfId="0" applyFont="1" applyBorder="1" applyNumberFormat="1">
      <alignment vertical="center" wrapText="1"/>
    </xf>
    <xf numFmtId="0" fontId="72" fillId="0" borderId="23" xfId="0" applyFont="1" applyBorder="1" applyNumberFormat="1">
      <alignment horizontal="center" vertical="center"/>
    </xf>
    <xf numFmtId="0" fontId="72" fillId="0" borderId="23" xfId="0" applyFont="1" applyBorder="1" applyNumberFormat="1">
      <alignment horizontal="left" vertical="center" wrapText="1" indent="1"/>
    </xf>
    <xf numFmtId="0" fontId="23" fillId="41" borderId="61" xfId="0" applyFont="1" applyFill="1" applyBorder="1" applyNumberFormat="1">
      <alignment horizontal="left" vertical="center"/>
    </xf>
    <xf numFmtId="0" fontId="27" fillId="41" borderId="61" xfId="0" applyFont="1" applyFill="1" applyBorder="1" applyNumberFormat="1">
      <alignment vertical="center" wrapText="1"/>
    </xf>
    <xf numFmtId="0" fontId="27" fillId="41" borderId="62" xfId="0" applyFont="1" applyFill="1" applyBorder="1" applyNumberFormat="1">
      <alignment vertical="center" wrapText="1"/>
    </xf>
    <xf numFmtId="0" fontId="49" fillId="0" borderId="23" xfId="0" applyFont="1" applyBorder="1" applyNumberFormat="1">
      <alignment horizontal="center" vertical="center"/>
    </xf>
    <xf numFmtId="0" fontId="49" fillId="40" borderId="23" xfId="0" applyFont="1" applyFill="1" applyBorder="1" applyNumberFormat="1">
      <alignment horizontal="left" vertical="center" wrapText="1" indent="1"/>
    </xf>
    <xf numFmtId="0" fontId="49" fillId="0" borderId="20" xfId="0" applyFont="1" applyBorder="1" applyNumberFormat="1">
      <alignment horizontal="center" vertical="center"/>
    </xf>
    <xf numFmtId="0" fontId="71" fillId="0" borderId="63" xfId="0" applyFont="1" applyBorder="1" applyNumberFormat="1">
      <alignment horizontal="left" vertical="center" indent="1"/>
    </xf>
    <xf numFmtId="0" fontId="27" fillId="0" borderId="64" xfId="0" applyFont="1" applyBorder="1" applyNumberFormat="1">
      <alignment horizontal="right" vertical="center"/>
    </xf>
    <xf numFmtId="0" fontId="27" fillId="0" borderId="64" xfId="0" applyFont="1" applyBorder="1" applyNumberFormat="1">
      <alignment horizontal="center" vertical="center"/>
    </xf>
    <xf numFmtId="0" fontId="27" fillId="0" borderId="25" xfId="0" applyFont="1" applyBorder="1" applyNumberFormat="1">
      <alignment horizontal="right" vertical="center"/>
    </xf>
    <xf numFmtId="0" fontId="27" fillId="0" borderId="20" xfId="0" applyFont="1" applyBorder="1" applyNumberFormat="1">
      <alignment horizontal="right" vertical="center"/>
    </xf>
    <xf numFmtId="0" fontId="27" fillId="43" borderId="23" xfId="0" applyFont="1" applyFill="1" applyBorder="1" applyNumberFormat="1">
      <alignment horizontal="right" vertical="center"/>
    </xf>
    <xf numFmtId="0" fontId="44" fillId="0" borderId="30" xfId="0" applyFont="1" applyBorder="1" applyNumberFormat="1">
      <alignment vertical="center" wrapText="1"/>
    </xf>
    <xf numFmtId="0" fontId="44" fillId="0" borderId="23" xfId="0" applyFont="1" applyBorder="1" applyNumberFormat="1">
      <alignment horizontal="left" vertical="center" indent="1"/>
    </xf>
    <xf numFmtId="0" fontId="27" fillId="40" borderId="23" xfId="0" applyFont="1" applyFill="1" applyBorder="1" applyNumberFormat="1">
      <alignment horizontal="left" vertical="top" wrapText="1"/>
    </xf>
    <xf numFmtId="0" fontId="23" fillId="40" borderId="23" xfId="0" applyFont="1" applyFill="1" applyBorder="1" applyNumberFormat="1">
      <alignment horizontal="left" vertical="center" wrapText="1"/>
    </xf>
    <xf numFmtId="0" fontId="48" fillId="41" borderId="21" xfId="0" applyFont="1" applyFill="1" applyBorder="1" applyNumberFormat="1">
      <alignment horizontal="left" vertical="center"/>
    </xf>
    <xf numFmtId="0" fontId="48" fillId="41" borderId="25" xfId="0" applyFont="1" applyFill="1" applyBorder="1" applyNumberFormat="1">
      <alignment horizontal="left" vertical="center"/>
    </xf>
    <xf numFmtId="0" fontId="48" fillId="41" borderId="20" xfId="0" applyFont="1" applyFill="1" applyBorder="1" applyNumberFormat="1">
      <alignment horizontal="left" vertical="center"/>
    </xf>
    <xf numFmtId="0" fontId="23" fillId="41" borderId="25" xfId="0" applyFont="1" applyFill="1" applyBorder="1" applyNumberFormat="1">
      <alignment vertical="center"/>
    </xf>
    <xf numFmtId="0" fontId="48" fillId="0" borderId="42" xfId="0" applyFont="1" applyBorder="1" applyNumberFormat="1">
      <alignment horizontal="left" vertical="center"/>
    </xf>
    <xf numFmtId="0" fontId="48" fillId="35" borderId="42" xfId="0" applyFont="1" applyFill="1" applyBorder="1" applyNumberFormat="1">
      <alignment horizontal="left" vertical="center"/>
      <protection locked="0"/>
    </xf>
    <xf numFmtId="0" fontId="48" fillId="38" borderId="42" xfId="0" applyFont="1" applyFill="1" applyBorder="1" applyNumberFormat="1">
      <alignment horizontal="left" vertical="center"/>
      <protection locked="0"/>
    </xf>
    <xf numFmtId="0" fontId="44" fillId="0" borderId="21" xfId="0" applyFont="1" applyBorder="1" applyNumberFormat="1">
      <alignment horizontal="left" vertical="center"/>
    </xf>
    <xf numFmtId="0" fontId="44" fillId="0" borderId="25" xfId="0" applyFont="1" applyBorder="1" applyNumberFormat="1">
      <alignment horizontal="left" vertical="center"/>
    </xf>
    <xf numFmtId="0" fontId="48" fillId="41" borderId="34" xfId="0" applyFont="1" applyFill="1" applyBorder="1" applyNumberFormat="1">
      <alignment horizontal="left" vertical="center"/>
    </xf>
    <xf numFmtId="0" fontId="27" fillId="0" borderId="29" xfId="0" applyFont="1" applyBorder="1" applyNumberFormat="1">
      <alignment horizontal="center" vertical="center"/>
    </xf>
    <xf numFmtId="0" fontId="27" fillId="40" borderId="32" xfId="0" applyFont="1" applyFill="1" applyBorder="1" applyNumberFormat="1">
      <alignment horizontal="left" vertical="center" wrapText="1"/>
    </xf>
    <xf numFmtId="0" fontId="27" fillId="0" borderId="42" xfId="0" applyFont="1" applyBorder="1" applyNumberFormat="1">
      <alignment horizontal="left" vertical="center" wrapText="1"/>
    </xf>
    <xf numFmtId="0" fontId="27" fillId="40" borderId="42" xfId="0" applyFont="1" applyFill="1" applyBorder="1" applyNumberFormat="1">
      <alignment horizontal="left" vertical="center" wrapText="1"/>
    </xf>
    <xf numFmtId="0" fontId="48" fillId="0" borderId="30" xfId="0" applyFont="1" applyBorder="1" applyNumberFormat="1">
      <alignment horizontal="left" vertical="center"/>
    </xf>
    <xf numFmtId="0" fontId="48" fillId="41" borderId="33" xfId="0" applyFont="1" applyFill="1" applyBorder="1" applyNumberFormat="1">
      <alignment horizontal="left" vertical="center"/>
    </xf>
    <xf numFmtId="0" fontId="48" fillId="41" borderId="26" xfId="0" applyFont="1" applyFill="1" applyBorder="1" applyNumberFormat="1">
      <alignment horizontal="left" vertical="center"/>
    </xf>
    <xf numFmtId="0" fontId="48" fillId="41" borderId="27" xfId="0" applyFont="1" applyFill="1" applyBorder="1" applyNumberFormat="1">
      <alignment horizontal="left" vertical="center"/>
    </xf>
    <xf numFmtId="0" fontId="48" fillId="41" borderId="33" xfId="0" applyFont="1" applyFill="1" applyBorder="1" applyNumberFormat="1">
      <alignment vertical="center"/>
    </xf>
    <xf numFmtId="0" fontId="33" fillId="0" borderId="23" xfId="0" applyFont="1" applyBorder="1" applyNumberFormat="1">
      <alignment vertical="top" wrapText="1"/>
    </xf>
    <xf numFmtId="0" fontId="66" fillId="0" borderId="23" xfId="0" applyFont="1" applyBorder="1" applyNumberFormat="1">
      <alignment vertical="top" wrapText="1"/>
    </xf>
    <xf numFmtId="0" fontId="33" fillId="43" borderId="23" xfId="0" applyFont="1" applyFill="1" applyBorder="1" applyNumberFormat="1">
      <alignment horizontal="center" vertical="top" wrapText="1"/>
    </xf>
    <xf numFmtId="0" fontId="66" fillId="43" borderId="23" xfId="0" applyFont="1" applyFill="1" applyBorder="1" applyNumberFormat="1">
      <alignment horizontal="right" vertical="center" wrapText="1"/>
    </xf>
    <xf numFmtId="0" fontId="66" fillId="0" borderId="23" xfId="0" applyFont="1" applyBorder="1" applyNumberFormat="1">
      <alignment horizontal="left" vertical="top" wrapText="1"/>
    </xf>
    <xf numFmtId="0" fontId="66" fillId="43" borderId="23" xfId="0" applyFont="1" applyFill="1" applyBorder="1" applyNumberFormat="1">
      <alignment horizontal="center" vertical="center" wrapText="1"/>
    </xf>
    <xf numFmtId="0" fontId="66" fillId="0" borderId="32" xfId="0" applyFont="1" applyBorder="1" applyNumberFormat="1">
      <alignment horizontal="left" vertical="top" wrapText="1"/>
    </xf>
    <xf numFmtId="0" fontId="66" fillId="0" borderId="20" xfId="0" applyFont="1" applyBorder="1" applyNumberFormat="1">
      <alignment horizontal="left" vertical="top" wrapText="1"/>
    </xf>
    <xf numFmtId="0" fontId="66" fillId="0" borderId="32" xfId="0" applyFont="1" applyBorder="1" applyNumberFormat="1">
      <alignment vertical="top" wrapText="1"/>
    </xf>
    <xf numFmtId="0" fontId="33" fillId="0" borderId="21" xfId="0" applyFont="1" applyBorder="1" applyNumberFormat="1">
      <alignment horizontal="center" vertical="center" wrapText="1"/>
    </xf>
    <xf numFmtId="0" fontId="33" fillId="0" borderId="21" xfId="0" applyFont="1" applyBorder="1" applyNumberFormat="1">
      <alignment horizontal="center" vertical="center"/>
    </xf>
    <xf numFmtId="0" fontId="33" fillId="0" borderId="23" xfId="0" applyFont="1" applyBorder="1" applyNumberFormat="1">
      <alignment vertical="center" wrapText="1"/>
    </xf>
    <xf numFmtId="0" fontId="33" fillId="0" borderId="23" xfId="0" applyFont="1" applyBorder="1" applyNumberFormat="1">
      <alignment horizontal="center" vertical="center" wrapText="1"/>
    </xf>
    <xf numFmtId="0" fontId="33" fillId="0" borderId="32" xfId="0" applyFont="1" applyBorder="1" applyNumberFormat="1">
      <alignment vertical="center" wrapText="1"/>
    </xf>
    <xf numFmtId="0" fontId="33" fillId="0" borderId="30" xfId="0" applyFont="1" applyBorder="1" applyNumberFormat="1">
      <alignment vertical="center" wrapText="1"/>
    </xf>
    <xf numFmtId="0" fontId="33" fillId="0" borderId="32" xfId="0" applyFont="1" applyBorder="1" applyNumberFormat="1">
      <alignment horizontal="center" vertical="center" wrapText="1"/>
    </xf>
    <xf numFmtId="0" fontId="66" fillId="0" borderId="42" xfId="0" applyFont="1" applyBorder="1" applyNumberFormat="1">
      <alignment horizontal="left" vertical="top" wrapText="1"/>
    </xf>
    <xf numFmtId="0" fontId="21" fillId="0" borderId="26" xfId="0" applyFont="1" applyBorder="1" applyNumberFormat="1">
      <alignment horizontal="left" vertical="center" wrapText="1" indent="1"/>
    </xf>
    <xf numFmtId="0" fontId="21" fillId="0" borderId="45" xfId="0" applyFont="1" applyBorder="1" applyNumberFormat="1">
      <alignment horizontal="left" vertical="center" wrapText="1" indent="1"/>
    </xf>
    <xf numFmtId="0" fontId="23" fillId="0" borderId="0" xfId="0" applyFont="1" applyNumberFormat="1"/>
    <xf numFmtId="0" fontId="23" fillId="0" borderId="24" xfId="0" applyFont="1" applyBorder="1" applyNumberFormat="1">
      <alignment vertical="top" wrapText="1"/>
    </xf>
    <xf numFmtId="0" fontId="21" fillId="0" borderId="74" xfId="0" applyFont="1" applyBorder="1" applyNumberFormat="1">
      <alignment vertical="top" wrapText="1"/>
    </xf>
    <xf numFmtId="0" fontId="23" fillId="0" borderId="23" xfId="0" applyFont="1" applyBorder="1" applyNumberFormat="1">
      <alignment vertical="top" wrapText="1"/>
    </xf>
    <xf numFmtId="0" fontId="31" fillId="0" borderId="24" xfId="0" applyFont="1" applyBorder="1" applyNumberFormat="1">
      <alignment vertical="center" wrapText="1"/>
    </xf>
    <xf numFmtId="0" fontId="21" fillId="0" borderId="0" xfId="0" applyFont="1" applyNumberFormat="1">
      <alignment vertical="top" wrapText="1"/>
    </xf>
    <xf numFmtId="0" fontId="27" fillId="0" borderId="24"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1" fillId="33" borderId="10" xfId="0" applyFont="1" applyFill="1" applyBorder="1" applyNumberFormat="1">
      <alignment horizontal="center" vertical="center" wrapText="1"/>
    </xf>
    <xf numFmtId="0" fontId="21" fillId="33" borderId="11" xfId="0" applyFont="1" applyFill="1" applyBorder="1" applyNumberFormat="1">
      <alignment horizontal="center" vertical="center" wrapText="1"/>
    </xf>
    <xf numFmtId="0" fontId="21" fillId="33" borderId="12" xfId="0" applyFont="1" applyFill="1" applyBorder="1" applyNumberFormat="1">
      <alignment horizontal="center" vertical="center" wrapText="1"/>
    </xf>
    <xf numFmtId="0" fontId="21" fillId="34" borderId="13" xfId="0" applyFont="1" applyFill="1" applyBorder="1" applyNumberFormat="1">
      <alignment horizontal="right" vertical="center" wrapText="1" indent="1"/>
    </xf>
    <xf numFmtId="0" fontId="21" fillId="34" borderId="14" xfId="0" applyFont="1" applyFill="1" applyBorder="1" applyNumberFormat="1">
      <alignment horizontal="right" vertical="center" wrapText="1" indent="1"/>
    </xf>
    <xf numFmtId="0" fontId="22" fillId="0" borderId="13" xfId="0" applyFont="1" applyBorder="1" applyNumberFormat="1">
      <alignment wrapText="1"/>
    </xf>
    <xf numFmtId="0" fontId="23" fillId="35" borderId="15" xfId="0" applyFont="1" applyFill="1" applyBorder="1" applyNumberFormat="1">
      <alignment horizontal="center" vertical="center" wrapText="1"/>
    </xf>
    <xf numFmtId="0" fontId="24" fillId="0" borderId="13" xfId="0" applyFont="1" applyBorder="1" applyNumberFormat="1">
      <alignment vertical="center" wrapText="1"/>
    </xf>
    <xf numFmtId="0" fontId="23" fillId="36" borderId="15" xfId="0" applyFont="1" applyFill="1" applyBorder="1" applyNumberFormat="1">
      <alignment horizontal="center" vertical="center" wrapText="1"/>
    </xf>
    <xf numFmtId="0" fontId="24" fillId="0" borderId="13" xfId="0" applyFont="1" applyBorder="1" applyNumberFormat="1">
      <alignment horizontal="left" vertical="center" wrapText="1"/>
    </xf>
    <xf numFmtId="0" fontId="23" fillId="37" borderId="15" xfId="0" applyFont="1" applyFill="1" applyBorder="1" applyNumberFormat="1">
      <alignment horizontal="center" vertical="center" wrapText="1"/>
    </xf>
    <xf numFmtId="0" fontId="23" fillId="38" borderId="15" xfId="0" applyFont="1" applyFill="1" applyBorder="1" applyNumberFormat="1">
      <alignment horizontal="center" vertical="center" wrapText="1"/>
    </xf>
    <xf numFmtId="0" fontId="21" fillId="34" borderId="0" xfId="0" applyFont="1" applyFill="1" applyNumberFormat="1">
      <alignment horizontal="right" vertical="center" wrapText="1" indent="1"/>
    </xf>
    <xf numFmtId="0" fontId="25" fillId="0" borderId="13" xfId="0" applyFont="1" applyBorder="1" applyNumberFormat="1">
      <alignment horizontal="left" vertical="center" wrapText="1"/>
    </xf>
    <xf numFmtId="0" fontId="25" fillId="0" borderId="16" xfId="0" applyFont="1" applyBorder="1" applyNumberFormat="1">
      <alignment horizontal="left" vertical="center" wrapText="1"/>
    </xf>
    <xf numFmtId="0" fontId="21" fillId="34" borderId="15" xfId="0" applyFont="1" applyFill="1" applyBorder="1" applyNumberFormat="1">
      <alignment horizontal="right" vertical="center" wrapText="1" indent="1"/>
    </xf>
    <xf numFmtId="0" fontId="21" fillId="34" borderId="17" xfId="0" applyFont="1" applyFill="1" applyBorder="1" applyNumberFormat="1">
      <alignment horizontal="right" vertical="center" wrapText="1" indent="1"/>
    </xf>
    <xf numFmtId="0" fontId="24" fillId="0" borderId="13" xfId="0" applyFont="1" applyBorder="1" applyNumberFormat="1">
      <alignment wrapText="1"/>
    </xf>
    <xf numFmtId="0" fontId="24" fillId="0" borderId="0" xfId="0" applyFont="1" applyNumberFormat="1">
      <alignment vertical="center" wrapText="1"/>
    </xf>
    <xf numFmtId="0" fontId="24" fillId="0" borderId="0" xfId="0" applyFont="1" applyNumberFormat="1">
      <alignment vertical="top" wrapText="1"/>
    </xf>
    <xf numFmtId="0" fontId="21" fillId="34" borderId="18" xfId="0" applyFont="1" applyFill="1" applyBorder="1" applyNumberFormat="1">
      <alignment horizontal="right" vertical="center" wrapText="1" indent="1"/>
    </xf>
    <xf numFmtId="0" fontId="21" fillId="34" borderId="19" xfId="0" applyFont="1" applyFill="1" applyBorder="1" applyNumberFormat="1">
      <alignment horizontal="right" vertical="center" wrapText="1" indent="1"/>
    </xf>
    <xf numFmtId="0" fontId="22" fillId="0" borderId="18" xfId="0" applyFont="1" applyBorder="1" applyNumberFormat="1">
      <alignment wrapText="1"/>
    </xf>
    <xf numFmtId="0" fontId="22" fillId="0" borderId="19" xfId="0" applyFont="1" applyBorder="1" applyNumberFormat="1">
      <alignment wrapText="1"/>
    </xf>
    <xf numFmtId="0" fontId="22" fillId="0" borderId="19" xfId="0" applyFont="1" applyBorder="1" applyNumberFormat="1">
      <alignment vertical="center" wrapText="1"/>
    </xf>
    <xf numFmtId="0" fontId="0" fillId="0" borderId="0" xfId="0" applyFont="1" applyNumberFormat="1">
      <alignment vertical="top"/>
    </xf>
    <xf numFmtId="0" fontId="26" fillId="0" borderId="0" xfId="0" applyFont="1" applyNumberFormat="1">
      <alignment vertical="center" wrapText="1"/>
    </xf>
    <xf numFmtId="0" fontId="27" fillId="0" borderId="0" xfId="0" applyFont="1" applyNumberFormat="1">
      <alignment horizontal="left" vertical="top" indent="1"/>
    </xf>
    <xf numFmtId="0" fontId="28" fillId="0" borderId="0" xfId="0" applyFont="1" applyNumberFormat="1">
      <alignment vertical="center" wrapText="1"/>
    </xf>
    <xf numFmtId="0" fontId="23" fillId="0" borderId="0" xfId="0" applyFont="1" applyNumberFormat="1">
      <alignment horizontal="left" vertical="center" indent="1"/>
    </xf>
    <xf numFmtId="0" fontId="27" fillId="0" borderId="0" xfId="0" applyFont="1" applyNumberFormat="1">
      <alignment vertical="center" wrapText="1"/>
    </xf>
    <xf numFmtId="0" fontId="29" fillId="39" borderId="0" xfId="0" applyFont="1" applyFill="1" applyNumberFormat="1">
      <alignment vertical="center" wrapText="1"/>
    </xf>
    <xf numFmtId="0" fontId="29" fillId="0" borderId="0" xfId="0" applyFont="1" applyNumberFormat="1">
      <alignment vertical="center" wrapText="1"/>
    </xf>
    <xf numFmtId="0" fontId="30" fillId="39" borderId="0" xfId="0" applyFont="1" applyFill="1" applyNumberFormat="1">
      <alignment vertical="center" wrapText="1"/>
    </xf>
    <xf numFmtId="0" fontId="27" fillId="0" borderId="20" xfId="0" applyFont="1" applyBorder="1" applyNumberFormat="1">
      <alignment horizontal="center" vertical="center" wrapText="1"/>
    </xf>
    <xf numFmtId="0" fontId="27" fillId="0" borderId="21" xfId="0" applyFont="1" applyBorder="1" applyNumberFormat="1">
      <alignment horizontal="center" vertical="center" wrapText="1"/>
    </xf>
    <xf numFmtId="0" fontId="31" fillId="39" borderId="0" xfId="0" applyFont="1" applyFill="1" applyNumberFormat="1">
      <alignment vertical="center" wrapText="1"/>
    </xf>
    <xf numFmtId="0" fontId="29" fillId="39" borderId="0" xfId="0" applyFont="1" applyFill="1" applyNumberFormat="1">
      <alignment horizontal="right" vertical="center" wrapText="1" indent="1"/>
    </xf>
    <xf numFmtId="0" fontId="32" fillId="39" borderId="0" xfId="0" applyFont="1" applyFill="1" applyNumberFormat="1">
      <alignment horizontal="center" vertical="center" wrapText="1"/>
    </xf>
    <xf numFmtId="0" fontId="27" fillId="39" borderId="22" xfId="0" applyFont="1" applyFill="1" applyBorder="1" applyNumberFormat="1">
      <alignment horizontal="right" vertical="center" wrapText="1" indent="1"/>
    </xf>
    <xf numFmtId="0" fontId="23" fillId="37" borderId="23" xfId="0" applyFont="1" applyFill="1" applyBorder="1" applyNumberFormat="1">
      <alignment horizontal="left" vertical="center" wrapText="1" indent="1"/>
    </xf>
    <xf numFmtId="0" fontId="34" fillId="39" borderId="0" xfId="0" applyFont="1" applyFill="1" applyNumberFormat="1">
      <alignment horizontal="center" vertical="center" wrapText="1"/>
    </xf>
    <xf numFmtId="0" fontId="29" fillId="39" borderId="0" xfId="0" applyFont="1" applyFill="1" applyNumberFormat="1">
      <alignment horizontal="left" vertical="center" wrapText="1" indent="1"/>
    </xf>
    <xf numFmtId="0" fontId="27" fillId="39" borderId="0" xfId="0" applyFont="1" applyFill="1" applyNumberFormat="1">
      <alignment horizontal="center" vertical="center" wrapText="1"/>
    </xf>
    <xf numFmtId="0" fontId="27" fillId="38" borderId="23" xfId="0" applyFont="1" applyFill="1" applyBorder="1" applyNumberFormat="1">
      <alignment horizontal="left" vertical="top" wrapText="1" indent="1"/>
      <protection locked="0"/>
    </xf>
    <xf numFmtId="0" fontId="27" fillId="0" borderId="0" xfId="0" applyFont="1" applyNumberFormat="1">
      <alignment horizontal="left" vertical="center" wrapText="1"/>
    </xf>
    <xf numFmtId="0" fontId="36" fillId="0" borderId="0" xfId="0" applyFont="1" applyNumberFormat="1">
      <alignment horizontal="left" vertical="center" indent="1"/>
    </xf>
    <xf numFmtId="0" fontId="37" fillId="0" borderId="0" xfId="0" applyFont="1" applyNumberFormat="1">
      <alignment vertical="center" wrapText="1"/>
    </xf>
    <xf numFmtId="0" fontId="27" fillId="39" borderId="0" xfId="0" applyFont="1" applyFill="1" applyNumberFormat="1">
      <alignment vertical="center" wrapText="1"/>
    </xf>
    <xf numFmtId="0" fontId="23" fillId="38" borderId="23" xfId="0" applyFont="1" applyFill="1" applyBorder="1" applyNumberFormat="1">
      <alignment horizontal="left" vertical="center" wrapText="1" indent="1"/>
      <protection locked="0"/>
    </xf>
    <xf numFmtId="0" fontId="23" fillId="39" borderId="0" xfId="0" applyFont="1" applyFill="1" applyNumberFormat="1">
      <alignment horizontal="right" vertical="center" wrapText="1" indent="1"/>
    </xf>
    <xf numFmtId="0" fontId="38" fillId="0" borderId="0" xfId="0" applyFont="1" applyNumberFormat="1">
      <alignment horizontal="left" vertical="center" wrapText="1"/>
    </xf>
    <xf numFmtId="0" fontId="27" fillId="39" borderId="0" xfId="0" applyFont="1" applyFill="1" applyNumberFormat="1">
      <alignment horizontal="right" vertical="center" wrapText="1" indent="1"/>
    </xf>
    <xf numFmtId="0" fontId="27" fillId="0" borderId="0" xfId="0" applyFont="1" applyNumberFormat="1">
      <alignment horizontal="center" vertical="center" wrapText="1"/>
    </xf>
    <xf numFmtId="0" fontId="38" fillId="0" borderId="0" xfId="0" applyFont="1" applyNumberFormat="1">
      <alignment vertical="center" wrapText="1"/>
    </xf>
    <xf numFmtId="0" fontId="23" fillId="39" borderId="0" xfId="0" applyFont="1" applyFill="1" applyNumberFormat="1">
      <alignment horizontal="left" vertical="center" wrapText="1" indent="1"/>
    </xf>
    <xf numFmtId="0" fontId="39" fillId="39" borderId="0" xfId="0" applyFont="1" applyFill="1" applyNumberFormat="1">
      <alignment horizontal="center" vertical="center" wrapText="1"/>
    </xf>
    <xf numFmtId="0" fontId="23" fillId="39" borderId="22" xfId="0" applyFont="1" applyFill="1" applyBorder="1" applyNumberFormat="1">
      <alignment horizontal="right" vertical="center" wrapText="1" indent="1"/>
    </xf>
    <xf numFmtId="0" fontId="27" fillId="38" borderId="23" xfId="0" applyFont="1" applyFill="1" applyBorder="1" applyNumberFormat="1">
      <alignment horizontal="left" vertical="center" wrapText="1" indent="1"/>
      <protection locked="0"/>
    </xf>
    <xf numFmtId="0" fontId="40" fillId="39" borderId="0" xfId="0" applyFont="1" applyFill="1" applyNumberFormat="1">
      <alignment horizontal="right" vertical="center" wrapText="1" indent="1"/>
    </xf>
    <xf numFmtId="0" fontId="40" fillId="39" borderId="0" xfId="0" applyFont="1" applyFill="1" applyNumberFormat="1">
      <alignment horizontal="left" vertical="center" wrapText="1" indent="1"/>
    </xf>
    <xf numFmtId="0" fontId="27" fillId="40" borderId="23" xfId="0" applyFont="1" applyFill="1" applyBorder="1" applyNumberFormat="1">
      <alignment horizontal="left" vertical="center" wrapText="1" indent="1"/>
    </xf>
    <xf numFmtId="0" fontId="27" fillId="38" borderId="23" xfId="0" applyFont="1" applyFill="1" applyBorder="1" applyNumberFormat="1">
      <alignment horizontal="left" vertical="center" wrapText="1" indent="1"/>
    </xf>
    <xf numFmtId="0" fontId="27" fillId="0" borderId="0" xfId="0" applyFont="1" applyNumberFormat="1">
      <alignment horizontal="left" vertical="center" wrapText="1" indent="4"/>
    </xf>
    <xf numFmtId="0" fontId="33" fillId="0" borderId="0" xfId="0" applyFont="1" applyNumberFormat="1">
      <alignment horizontal="left" vertical="center" wrapText="1"/>
    </xf>
    <xf numFmtId="0" fontId="28" fillId="0" borderId="0" xfId="0" applyFont="1" applyNumberFormat="1">
      <alignment horizontal="left" vertical="center" wrapText="1"/>
    </xf>
    <xf numFmtId="0" fontId="43" fillId="0" borderId="0" xfId="0" applyFont="1" applyNumberFormat="1">
      <alignment vertical="center" wrapText="1"/>
    </xf>
    <xf numFmtId="0" fontId="28" fillId="0" borderId="0" xfId="0" applyFont="1" applyNumberFormat="1">
      <alignment horizontal="center" vertical="center" wrapText="1"/>
    </xf>
    <xf numFmtId="0" fontId="44" fillId="0" borderId="0" xfId="0" applyFont="1" applyNumberFormat="1">
      <alignment horizontal="left" vertical="center" indent="1"/>
    </xf>
    <xf numFmtId="0" fontId="44" fillId="0" borderId="0" xfId="0" applyFont="1" applyNumberFormat="1">
      <alignment horizontal="center" vertical="center" wrapText="1"/>
    </xf>
    <xf numFmtId="0" fontId="44" fillId="0" borderId="0" xfId="0" applyFont="1" applyNumberFormat="1">
      <alignment horizontal="left" vertical="center" wrapText="1" indent="1"/>
    </xf>
    <xf numFmtId="0" fontId="44" fillId="0" borderId="0" xfId="0" applyFont="1" applyNumberFormat="1">
      <alignment vertical="center" wrapText="1"/>
    </xf>
    <xf numFmtId="0" fontId="45" fillId="0" borderId="0" xfId="0" applyFont="1" applyNumberFormat="1">
      <alignment vertical="center" wrapText="1"/>
    </xf>
    <xf numFmtId="0" fontId="46" fillId="0" borderId="0" xfId="0" applyFont="1" applyNumberFormat="1">
      <alignment vertical="center" wrapText="1"/>
    </xf>
    <xf numFmtId="0" fontId="27" fillId="0" borderId="25" xfId="0" applyFont="1" applyBorder="1" applyNumberFormat="1">
      <alignment horizontal="left" vertical="center" wrapText="1" indent="1"/>
    </xf>
    <xf numFmtId="0" fontId="27" fillId="0" borderId="25" xfId="0" applyFont="1" applyBorder="1" applyNumberFormat="1">
      <alignment horizontal="center" vertical="center" wrapText="1"/>
    </xf>
    <xf numFmtId="0" fontId="44" fillId="0" borderId="28" xfId="0" applyFont="1" applyBorder="1" applyNumberFormat="1">
      <alignment vertical="center"/>
    </xf>
    <xf numFmtId="0" fontId="44" fillId="0" borderId="0" xfId="0" applyFont="1" applyNumberFormat="1">
      <alignment vertical="center"/>
    </xf>
    <xf numFmtId="0" fontId="27" fillId="0" borderId="23" xfId="0" applyFont="1" applyBorder="1" applyNumberFormat="1">
      <alignment horizontal="center" vertical="center" wrapText="1"/>
    </xf>
    <xf numFmtId="0" fontId="44" fillId="0" borderId="23" xfId="0" applyFont="1" applyBorder="1" applyNumberFormat="1">
      <alignment horizontal="center" vertical="center" wrapText="1"/>
    </xf>
    <xf numFmtId="0" fontId="47" fillId="0" borderId="29" xfId="0" applyFont="1" applyBorder="1" applyNumberFormat="1">
      <alignment vertical="top" wrapText="1"/>
    </xf>
    <xf numFmtId="0" fontId="27" fillId="0" borderId="30" xfId="0" applyFont="1" applyBorder="1" applyNumberFormat="1">
      <alignment horizontal="center" vertical="center" wrapText="1"/>
    </xf>
    <xf numFmtId="0" fontId="44" fillId="0" borderId="30" xfId="0" applyFont="1" applyBorder="1" applyNumberFormat="1">
      <alignment horizontal="center" vertical="center" wrapText="1"/>
    </xf>
    <xf numFmtId="0" fontId="27" fillId="0" borderId="31" xfId="0" applyFont="1" applyBorder="1" applyNumberFormat="1">
      <alignment vertical="center" wrapText="1"/>
    </xf>
    <xf numFmtId="0" fontId="49" fillId="0" borderId="0" xfId="0" applyFont="1" applyNumberFormat="1">
      <alignment vertical="center" wrapText="1"/>
    </xf>
    <xf numFmtId="0" fontId="50" fillId="0" borderId="0" xfId="0" applyFont="1" applyNumberFormat="1">
      <alignment horizontal="center" vertical="center" wrapText="1"/>
    </xf>
    <xf numFmtId="0" fontId="51" fillId="0" borderId="0" xfId="0" applyFont="1" applyNumberFormat="1">
      <alignment vertical="center"/>
    </xf>
    <xf numFmtId="0" fontId="23" fillId="0" borderId="0" xfId="0" applyFont="1" applyNumberFormat="1">
      <alignment vertical="center"/>
    </xf>
    <xf numFmtId="0" fontId="27" fillId="0" borderId="27" xfId="0" applyFont="1" applyBorder="1" applyNumberFormat="1">
      <alignment horizontal="left" vertical="center" wrapText="1" indent="1"/>
    </xf>
    <xf numFmtId="0" fontId="27" fillId="0" borderId="32" xfId="0" applyFont="1" applyBorder="1" applyNumberFormat="1">
      <alignment horizontal="left" vertical="center" wrapText="1" indent="1"/>
    </xf>
    <xf numFmtId="0" fontId="27" fillId="0" borderId="33" xfId="0" applyFont="1" applyBorder="1" applyNumberFormat="1">
      <alignment horizontal="left" vertical="center" wrapText="1" indent="1"/>
    </xf>
    <xf numFmtId="0" fontId="27" fillId="0" borderId="34" xfId="0" applyFont="1" applyBorder="1" applyNumberFormat="1">
      <alignment horizontal="left" vertical="center" indent="1"/>
    </xf>
    <xf numFmtId="0" fontId="27" fillId="0" borderId="30" xfId="0" applyFont="1" applyBorder="1" applyNumberFormat="1">
      <alignment horizontal="left" vertical="center" indent="1"/>
    </xf>
    <xf numFmtId="0" fontId="27" fillId="0" borderId="35" xfId="0" applyFont="1" applyBorder="1" applyNumberFormat="1">
      <alignment horizontal="left" vertical="center" indent="1"/>
    </xf>
    <xf numFmtId="0" fontId="52" fillId="0" borderId="0" xfId="0" applyFont="1" applyNumberFormat="1">
      <alignment vertical="center"/>
    </xf>
    <xf numFmtId="0" fontId="23" fillId="0" borderId="0" xfId="0" applyFont="1" applyNumberFormat="1">
      <alignment horizontal="left" vertical="center" wrapText="1" indent="2"/>
    </xf>
    <xf numFmtId="0" fontId="27" fillId="42" borderId="0" xfId="0" applyFont="1" applyFill="1" applyNumberFormat="1">
      <alignment horizontal="center" vertical="center" wrapText="1"/>
    </xf>
    <xf numFmtId="0" fontId="53" fillId="0" borderId="33" xfId="0" applyFont="1" applyBorder="1" applyNumberFormat="1">
      <alignment horizontal="center" vertical="center" wrapText="1"/>
    </xf>
    <xf numFmtId="0" fontId="53" fillId="0" borderId="26" xfId="0" applyFont="1" applyBorder="1" applyNumberFormat="1">
      <alignment horizontal="center" vertical="center" wrapText="1"/>
    </xf>
    <xf numFmtId="0" fontId="53" fillId="0" borderId="23" xfId="0" applyFont="1" applyBorder="1" applyNumberFormat="1">
      <alignment horizontal="center" vertical="center" wrapText="1"/>
    </xf>
    <xf numFmtId="0" fontId="27" fillId="0" borderId="36" xfId="0" applyFont="1" applyBorder="1" applyNumberFormat="1">
      <alignment horizontal="center" vertical="center" wrapText="1"/>
    </xf>
    <xf numFmtId="0" fontId="27" fillId="0" borderId="37" xfId="0" applyFont="1" applyBorder="1" applyNumberFormat="1">
      <alignment horizontal="center" vertical="center" wrapText="1"/>
    </xf>
    <xf numFmtId="0" fontId="37" fillId="0" borderId="28" xfId="0" applyFont="1" applyBorder="1" applyNumberFormat="1">
      <alignment vertical="center"/>
    </xf>
    <xf numFmtId="0" fontId="27" fillId="41" borderId="21" xfId="0" applyFont="1" applyFill="1" applyBorder="1" applyNumberFormat="1">
      <alignment horizontal="center" vertical="center" wrapText="1"/>
    </xf>
    <xf numFmtId="0" fontId="23" fillId="41" borderId="20" xfId="0" applyFont="1" applyFill="1" applyBorder="1" applyNumberFormat="1">
      <alignment vertical="center"/>
    </xf>
    <xf numFmtId="0" fontId="27" fillId="40" borderId="32" xfId="0" applyFont="1" applyFill="1" applyBorder="1" applyNumberFormat="1">
      <alignment horizontal="left" vertical="center" wrapText="1" indent="2"/>
    </xf>
    <xf numFmtId="0" fontId="27" fillId="0" borderId="41" xfId="0" applyFont="1" applyBorder="1" applyNumberFormat="1">
      <alignment horizontal="center" vertical="center" wrapText="1"/>
    </xf>
    <xf numFmtId="0" fontId="27" fillId="40" borderId="32" xfId="0" applyFont="1" applyFill="1" applyBorder="1" applyNumberFormat="1">
      <alignment horizontal="left" vertical="center" wrapText="1" indent="1"/>
    </xf>
    <xf numFmtId="0" fontId="27" fillId="0" borderId="0" xfId="0" applyFont="1" applyNumberFormat="1">
      <alignment vertical="center"/>
    </xf>
    <xf numFmtId="0" fontId="37" fillId="0" borderId="0" xfId="0" applyFont="1" applyNumberFormat="1">
      <alignment vertical="center"/>
    </xf>
    <xf numFmtId="0" fontId="47" fillId="0" borderId="23" xfId="0" applyFont="1" applyBorder="1" applyNumberFormat="1">
      <alignment horizontal="center" vertical="center" wrapText="1"/>
    </xf>
    <xf numFmtId="0" fontId="27" fillId="40" borderId="42" xfId="0" applyFont="1" applyFill="1" applyBorder="1" applyNumberFormat="1">
      <alignment horizontal="left" vertical="center" wrapText="1" indent="2"/>
    </xf>
    <xf numFmtId="0" fontId="27" fillId="40" borderId="30" xfId="0" applyFont="1" applyFill="1" applyBorder="1" applyNumberFormat="1">
      <alignment horizontal="left" vertical="center" wrapText="1" indent="1"/>
    </xf>
    <xf numFmtId="0" fontId="27" fillId="40" borderId="30" xfId="0" applyFont="1" applyFill="1" applyBorder="1" applyNumberFormat="1">
      <alignment horizontal="left" vertical="center" wrapText="1" indent="2"/>
    </xf>
    <xf numFmtId="0" fontId="53" fillId="42" borderId="0" xfId="0" applyFont="1" applyFill="1" applyNumberFormat="1">
      <alignment vertical="top"/>
    </xf>
    <xf numFmtId="0" fontId="27" fillId="0" borderId="27" xfId="0" applyFont="1" applyBorder="1" applyNumberFormat="1">
      <alignment horizontal="left" vertical="top" wrapText="1" indent="1"/>
    </xf>
    <xf numFmtId="0" fontId="27" fillId="0" borderId="32" xfId="0" applyFont="1" applyBorder="1" applyNumberFormat="1">
      <alignment horizontal="left" vertical="top" wrapText="1" indent="1"/>
    </xf>
    <xf numFmtId="0" fontId="27" fillId="0" borderId="33" xfId="0" applyFont="1" applyBorder="1" applyNumberFormat="1">
      <alignment horizontal="left" vertical="top" wrapText="1" indent="1"/>
    </xf>
    <xf numFmtId="0" fontId="27" fillId="0" borderId="45" xfId="0" applyFont="1" applyBorder="1" applyNumberFormat="1">
      <alignment horizontal="left" vertical="center" indent="1"/>
    </xf>
    <xf numFmtId="0" fontId="55" fillId="0" borderId="29" xfId="0" applyFont="1" applyBorder="1" applyNumberFormat="1">
      <alignment horizontal="left" vertical="center" wrapText="1" indent="1"/>
    </xf>
    <xf numFmtId="0" fontId="55" fillId="0" borderId="42" xfId="0" applyFont="1" applyBorder="1" applyNumberFormat="1">
      <alignment horizontal="left" vertical="center" wrapText="1" indent="1"/>
    </xf>
    <xf numFmtId="0" fontId="55" fillId="0" borderId="28" xfId="0" applyFont="1" applyBorder="1" applyNumberFormat="1">
      <alignment horizontal="left" vertical="center" wrapText="1" indent="1"/>
    </xf>
    <xf numFmtId="0" fontId="56" fillId="0" borderId="0" xfId="0" applyFont="1" applyNumberFormat="1">
      <alignment vertical="center"/>
    </xf>
    <xf numFmtId="0" fontId="23" fillId="0" borderId="23" xfId="0" applyFont="1" applyBorder="1" applyNumberFormat="1">
      <alignment horizontal="center" vertical="center" wrapText="1"/>
    </xf>
    <xf numFmtId="0" fontId="44" fillId="0" borderId="23" xfId="0" applyFont="1" applyBorder="1" applyNumberFormat="1">
      <alignment horizontal="center" vertical="center"/>
    </xf>
    <xf numFmtId="0" fontId="23" fillId="0" borderId="23" xfId="0" applyFont="1" applyBorder="1" applyNumberFormat="1">
      <alignment horizontal="center" vertical="center"/>
    </xf>
    <xf numFmtId="0" fontId="23" fillId="0" borderId="23" xfId="0" applyFont="1" applyBorder="1" applyNumberFormat="1">
      <alignment horizontal="center" vertical="top"/>
    </xf>
    <xf numFmtId="0" fontId="27" fillId="0" borderId="23" xfId="0" applyFont="1" applyBorder="1" applyNumberFormat="1">
      <alignment horizontal="left" vertical="top" wrapText="1"/>
    </xf>
    <xf numFmtId="0" fontId="27" fillId="40" borderId="32" xfId="0" applyFont="1" applyFill="1" applyBorder="1" applyNumberFormat="1">
      <alignment horizontal="center" vertical="top" wrapText="1"/>
    </xf>
    <xf numFmtId="0" fontId="23" fillId="0" borderId="33" xfId="0" applyFont="1" applyBorder="1" applyNumberFormat="1">
      <alignment horizontal="center" vertical="center"/>
    </xf>
    <xf numFmtId="0" fontId="23" fillId="0" borderId="26" xfId="0" applyFont="1" applyBorder="1" applyNumberFormat="1">
      <alignment horizontal="center" vertical="center"/>
    </xf>
    <xf numFmtId="0" fontId="23" fillId="0" borderId="26" xfId="0" applyFont="1" applyBorder="1" applyNumberFormat="1">
      <alignment horizontal="left" vertical="center" wrapText="1"/>
    </xf>
    <xf numFmtId="0" fontId="27" fillId="0" borderId="0" xfId="0" applyFont="1" applyNumberFormat="1">
      <alignment horizontal="left" vertical="center" indent="1"/>
    </xf>
    <xf numFmtId="0" fontId="27" fillId="40" borderId="42" xfId="0" applyFont="1" applyFill="1" applyBorder="1" applyNumberFormat="1">
      <alignment horizontal="center" vertical="top" wrapText="1"/>
    </xf>
    <xf numFmtId="0" fontId="23" fillId="0" borderId="28" xfId="0" applyFont="1" applyBorder="1" applyNumberFormat="1">
      <alignment horizontal="center" vertical="center"/>
    </xf>
    <xf numFmtId="0" fontId="48" fillId="0" borderId="29" xfId="0" applyFont="1" applyBorder="1" applyNumberFormat="1">
      <alignment horizontal="left" vertical="center"/>
    </xf>
    <xf numFmtId="0" fontId="27" fillId="40" borderId="30" xfId="0" applyFont="1" applyFill="1" applyBorder="1" applyNumberFormat="1">
      <alignment horizontal="center" vertical="top" wrapText="1"/>
    </xf>
    <xf numFmtId="0" fontId="48" fillId="0" borderId="35" xfId="0" applyFont="1" applyBorder="1" applyNumberFormat="1">
      <alignment horizontal="left" vertical="center"/>
    </xf>
    <xf numFmtId="0" fontId="48" fillId="0" borderId="45" xfId="0" applyFont="1" applyBorder="1" applyNumberFormat="1">
      <alignment horizontal="left" vertical="center"/>
    </xf>
    <xf numFmtId="0" fontId="23" fillId="0" borderId="45" xfId="0" applyFont="1" applyBorder="1" applyNumberFormat="1">
      <alignment vertical="center"/>
    </xf>
    <xf numFmtId="0" fontId="48" fillId="0" borderId="34" xfId="0" applyFont="1" applyBorder="1" applyNumberFormat="1">
      <alignment horizontal="left" vertical="center"/>
    </xf>
    <xf numFmtId="0" fontId="27" fillId="38" borderId="23" xfId="0" applyFont="1" applyFill="1" applyBorder="1" applyNumberFormat="1">
      <alignment horizontal="left" vertical="top" wrapText="1"/>
      <protection locked="0"/>
    </xf>
    <xf numFmtId="0" fontId="23" fillId="38" borderId="23" xfId="0" applyFont="1" applyFill="1" applyBorder="1" applyNumberFormat="1">
      <alignment horizontal="left" vertical="top"/>
      <protection locked="0"/>
    </xf>
    <xf numFmtId="0" fontId="23" fillId="0" borderId="32" xfId="0" applyFont="1" applyBorder="1" applyNumberFormat="1">
      <alignment horizontal="center" vertical="top"/>
    </xf>
    <xf numFmtId="0" fontId="27" fillId="0" borderId="32" xfId="0" applyFont="1" applyBorder="1" applyNumberFormat="1">
      <alignment horizontal="left" vertical="top" wrapText="1"/>
    </xf>
    <xf numFmtId="0" fontId="23" fillId="0" borderId="42" xfId="0" applyFont="1" applyBorder="1" applyNumberFormat="1">
      <alignment horizontal="center" vertical="top"/>
    </xf>
    <xf numFmtId="0" fontId="27" fillId="0" borderId="42" xfId="0" applyFont="1" applyBorder="1" applyNumberFormat="1">
      <alignment horizontal="left" vertical="top" wrapText="1"/>
    </xf>
    <xf numFmtId="0" fontId="23" fillId="0" borderId="30" xfId="0" applyFont="1" applyBorder="1" applyNumberFormat="1">
      <alignment horizontal="center" vertical="top"/>
    </xf>
    <xf numFmtId="0" fontId="27" fillId="0" borderId="30" xfId="0" applyFont="1" applyBorder="1" applyNumberFormat="1">
      <alignment horizontal="left" vertical="top" wrapText="1"/>
    </xf>
    <xf numFmtId="0" fontId="23" fillId="0" borderId="0" xfId="0" applyFont="1" applyNumberFormat="1">
      <alignment horizontal="left" vertical="top" wrapText="1"/>
    </xf>
    <xf numFmtId="0" fontId="23" fillId="0" borderId="0" xfId="0" applyFont="1" applyNumberFormat="1" quotePrefix="1">
      <alignment horizontal="left" vertical="top" wrapText="1" indent="1"/>
    </xf>
    <xf numFmtId="0" fontId="27" fillId="0" borderId="26" xfId="0" applyFont="1" applyBorder="1" applyNumberFormat="1">
      <alignment horizontal="left" vertical="center" wrapText="1" indent="1"/>
    </xf>
    <xf numFmtId="0" fontId="27" fillId="0" borderId="45" xfId="0" applyFont="1" applyBorder="1" applyNumberFormat="1">
      <alignment horizontal="left" vertical="center" wrapText="1" indent="1"/>
    </xf>
    <xf numFmtId="0" fontId="27" fillId="0" borderId="33" xfId="0" applyFont="1" applyBorder="1" applyNumberFormat="1">
      <alignment horizontal="center" vertical="center" wrapText="1"/>
    </xf>
    <xf numFmtId="0" fontId="27" fillId="0" borderId="27" xfId="0" applyFont="1" applyBorder="1" applyNumberFormat="1">
      <alignment horizontal="center" vertical="center" wrapText="1"/>
    </xf>
    <xf numFmtId="0" fontId="27" fillId="0" borderId="42" xfId="0" applyFont="1" applyBorder="1" applyNumberFormat="1">
      <alignment horizontal="center" vertical="center" wrapText="1"/>
    </xf>
    <xf numFmtId="0" fontId="27" fillId="0" borderId="32" xfId="0" applyFont="1" applyBorder="1" applyNumberFormat="1">
      <alignment horizontal="center" vertical="center" wrapText="1"/>
    </xf>
    <xf numFmtId="0" fontId="27" fillId="0" borderId="28" xfId="0" applyFont="1" applyBorder="1" applyNumberFormat="1">
      <alignment horizontal="center" vertical="center" wrapText="1"/>
    </xf>
    <xf numFmtId="0" fontId="27" fillId="0" borderId="29" xfId="0" applyFont="1" applyBorder="1" applyNumberFormat="1">
      <alignment horizontal="center" vertical="center" wrapText="1"/>
    </xf>
    <xf numFmtId="0" fontId="27" fillId="0" borderId="35" xfId="0" applyFont="1" applyBorder="1" applyNumberFormat="1">
      <alignment horizontal="center" vertical="center" wrapText="1"/>
    </xf>
    <xf numFmtId="0" fontId="27" fillId="0" borderId="34" xfId="0" applyFont="1" applyBorder="1" applyNumberFormat="1">
      <alignment horizontal="center" vertical="center" wrapText="1"/>
    </xf>
    <xf numFmtId="0" fontId="27" fillId="0" borderId="23" xfId="0" applyFont="1" applyBorder="1" applyNumberFormat="1">
      <alignment horizontal="left" vertical="center" wrapText="1"/>
    </xf>
    <xf numFmtId="0" fontId="27" fillId="0" borderId="26" xfId="0" applyFont="1" applyBorder="1" applyNumberFormat="1">
      <alignment horizontal="center" vertical="center"/>
    </xf>
    <xf numFmtId="0" fontId="27" fillId="0" borderId="26" xfId="0" applyFont="1" applyBorder="1" applyNumberFormat="1">
      <alignment horizontal="left" vertical="center" wrapText="1"/>
    </xf>
    <xf numFmtId="0" fontId="48" fillId="0" borderId="28" xfId="0" applyFont="1" applyBorder="1" applyNumberFormat="1">
      <alignment horizontal="left" vertical="center"/>
    </xf>
    <xf numFmtId="0" fontId="27" fillId="0" borderId="32" xfId="0" applyFont="1" applyBorder="1" applyNumberFormat="1">
      <alignment horizontal="left" vertical="center" wrapText="1"/>
    </xf>
    <xf numFmtId="0" fontId="27" fillId="0" borderId="33" xfId="0" applyFont="1" applyBorder="1" applyNumberFormat="1">
      <alignment horizontal="left" vertical="center" wrapText="1"/>
    </xf>
    <xf numFmtId="0" fontId="27" fillId="0" borderId="21" xfId="0" applyFont="1" applyBorder="1" applyNumberFormat="1">
      <alignment horizontal="left" vertical="center" wrapText="1"/>
    </xf>
    <xf numFmtId="0" fontId="27" fillId="39" borderId="0" xfId="0" applyFont="1" applyFill="1" applyNumberFormat="1"/>
    <xf numFmtId="0" fontId="23" fillId="39" borderId="0" xfId="0" applyFont="1" applyFill="1" applyNumberFormat="1"/>
    <xf numFmtId="0" fontId="44" fillId="39" borderId="0" xfId="0" applyFont="1" applyFill="1" applyNumberFormat="1"/>
    <xf numFmtId="0" fontId="40" fillId="39" borderId="0" xfId="0" applyFont="1" applyFill="1" applyNumberFormat="1">
      <alignment horizontal="center"/>
    </xf>
    <xf numFmtId="0" fontId="40" fillId="39" borderId="0" xfId="0" applyFont="1" applyFill="1" applyNumberFormat="1"/>
    <xf numFmtId="0" fontId="57" fillId="39" borderId="0" xfId="0" applyFont="1" applyFill="1" applyNumberFormat="1">
      <alignment horizontal="right" vertical="center"/>
    </xf>
    <xf numFmtId="0" fontId="44" fillId="39" borderId="0" xfId="0" applyFont="1" applyFill="1" applyNumberFormat="1">
      <alignment vertical="center" wrapText="1"/>
    </xf>
    <xf numFmtId="0" fontId="35" fillId="39" borderId="0" xfId="0" applyFont="1" applyFill="1" applyNumberFormat="1">
      <alignment horizontal="left" vertical="center" wrapText="1"/>
    </xf>
    <xf numFmtId="0" fontId="23" fillId="39" borderId="23" xfId="0" applyFont="1" applyFill="1" applyBorder="1" applyNumberFormat="1">
      <alignment horizontal="center" vertical="center" wrapText="1"/>
    </xf>
    <xf numFmtId="0" fontId="27" fillId="39" borderId="23" xfId="0" applyFont="1" applyFill="1" applyBorder="1" applyNumberFormat="1">
      <alignment horizontal="center" vertical="center" wrapText="1"/>
    </xf>
    <xf numFmtId="0" fontId="47" fillId="39" borderId="0" xfId="0" applyFont="1" applyFill="1" applyNumberFormat="1">
      <alignment horizontal="center" vertical="center"/>
    </xf>
    <xf numFmtId="0" fontId="44" fillId="0" borderId="23" xfId="0" applyFont="1" applyBorder="1" applyNumberFormat="1">
      <alignment vertical="center" wrapText="1"/>
    </xf>
    <xf numFmtId="0" fontId="44" fillId="0" borderId="23" xfId="0" applyFont="1" applyBorder="1" applyNumberFormat="1">
      <alignment horizontal="left" vertical="center" wrapText="1"/>
    </xf>
    <xf numFmtId="0" fontId="58" fillId="39" borderId="0" xfId="0" applyFont="1" applyFill="1" applyNumberFormat="1"/>
    <xf numFmtId="0" fontId="23" fillId="39" borderId="23" xfId="0" applyFont="1" applyFill="1" applyBorder="1" applyNumberFormat="1">
      <alignment vertical="center" wrapText="1"/>
    </xf>
    <xf numFmtId="0" fontId="27" fillId="39" borderId="23" xfId="0" applyFont="1" applyFill="1" applyBorder="1" applyNumberFormat="1">
      <alignment vertical="center" wrapText="1"/>
    </xf>
    <xf numFmtId="0" fontId="23" fillId="39" borderId="23" xfId="0" applyFont="1" applyFill="1" applyBorder="1" applyNumberFormat="1">
      <alignment horizontal="left" vertical="center" wrapText="1" indent="1"/>
    </xf>
    <xf numFmtId="0" fontId="44" fillId="0" borderId="23" xfId="0" applyFont="1" applyBorder="1" applyNumberFormat="1">
      <alignment horizontal="left" vertical="center" wrapText="1" indent="1"/>
    </xf>
    <xf numFmtId="0" fontId="27" fillId="39" borderId="29" xfId="0" applyFont="1" applyFill="1" applyBorder="1" applyNumberFormat="1">
      <alignment horizontal="center" vertical="center" wrapText="1"/>
    </xf>
    <xf numFmtId="0" fontId="23" fillId="39" borderId="23" xfId="0" applyFont="1" applyFill="1" applyBorder="1" applyNumberFormat="1">
      <alignment horizontal="center" vertical="center"/>
    </xf>
    <xf numFmtId="0" fontId="23" fillId="39" borderId="23" xfId="0" applyFont="1" applyFill="1" applyBorder="1" applyNumberFormat="1">
      <alignment horizontal="left" vertical="center" wrapText="1" indent="2"/>
    </xf>
    <xf numFmtId="0" fontId="27" fillId="39" borderId="29" xfId="0" applyFont="1" applyFill="1" applyBorder="1" applyNumberFormat="1">
      <alignment vertical="center" wrapText="1"/>
    </xf>
    <xf numFmtId="0" fontId="27" fillId="41" borderId="21" xfId="0" applyFont="1" applyFill="1" applyBorder="1" applyNumberFormat="1">
      <alignment horizontal="center"/>
    </xf>
    <xf numFmtId="0" fontId="57" fillId="41" borderId="25" xfId="0" applyFont="1" applyFill="1" applyBorder="1" applyNumberFormat="1">
      <alignment horizontal="left" vertical="center"/>
    </xf>
    <xf numFmtId="0" fontId="57" fillId="41" borderId="20" xfId="0" applyFont="1" applyFill="1" applyBorder="1" applyNumberFormat="1">
      <alignment horizontal="left" vertical="center"/>
    </xf>
    <xf numFmtId="0" fontId="44" fillId="39" borderId="23" xfId="0" applyFont="1" applyFill="1" applyBorder="1" applyNumberFormat="1">
      <alignment vertical="center" wrapText="1"/>
    </xf>
    <xf numFmtId="0" fontId="44" fillId="39" borderId="23" xfId="0" applyFont="1" applyFill="1" applyBorder="1" applyNumberFormat="1">
      <alignment horizontal="left" vertical="center" wrapText="1" indent="1"/>
    </xf>
    <xf numFmtId="0" fontId="44" fillId="39" borderId="23" xfId="0" applyFont="1" applyFill="1" applyBorder="1" applyNumberFormat="1">
      <alignment horizontal="left" vertical="center" wrapText="1" indent="2"/>
    </xf>
    <xf numFmtId="0" fontId="23" fillId="39" borderId="23" xfId="0" applyFont="1" applyFill="1" applyBorder="1" applyNumberFormat="1">
      <alignment horizontal="left" vertical="center" wrapText="1"/>
    </xf>
    <xf numFmtId="0" fontId="23" fillId="39" borderId="32" xfId="0" applyFont="1" applyFill="1" applyBorder="1" applyNumberFormat="1">
      <alignment horizontal="left" vertical="center" wrapText="1"/>
    </xf>
    <xf numFmtId="0" fontId="27" fillId="39" borderId="32" xfId="0" applyFont="1" applyFill="1" applyBorder="1" applyNumberFormat="1">
      <alignment horizontal="left" vertical="top" wrapText="1"/>
    </xf>
    <xf numFmtId="0" fontId="27" fillId="39" borderId="42" xfId="0" applyFont="1" applyFill="1" applyBorder="1" applyNumberFormat="1">
      <alignment horizontal="left" vertical="top" wrapText="1"/>
    </xf>
    <xf numFmtId="0" fontId="50" fillId="39" borderId="0" xfId="0" applyFont="1" applyFill="1" applyNumberFormat="1">
      <alignment horizontal="center" vertical="center" wrapText="1"/>
    </xf>
    <xf numFmtId="0" fontId="27" fillId="39" borderId="30" xfId="0" applyFont="1" applyFill="1" applyBorder="1" applyNumberFormat="1">
      <alignment horizontal="left" vertical="top" wrapText="1"/>
    </xf>
    <xf numFmtId="0" fontId="59" fillId="39" borderId="0" xfId="0" applyFont="1" applyFill="1" applyNumberFormat="1"/>
    <xf numFmtId="0" fontId="23" fillId="39" borderId="21" xfId="0" applyFont="1" applyFill="1" applyBorder="1" applyNumberFormat="1">
      <alignment horizontal="left" vertical="center" wrapText="1" indent="1"/>
    </xf>
    <xf numFmtId="0" fontId="23" fillId="39" borderId="23" xfId="0" applyFont="1" applyFill="1" applyBorder="1" applyNumberFormat="1">
      <alignment vertical="top" wrapText="1"/>
    </xf>
    <xf numFmtId="0" fontId="23" fillId="39" borderId="21" xfId="0" applyFont="1" applyFill="1" applyBorder="1" applyNumberFormat="1">
      <alignment horizontal="left" vertical="center" wrapText="1"/>
    </xf>
    <xf numFmtId="0" fontId="23" fillId="39" borderId="30" xfId="0" applyFont="1" applyFill="1" applyBorder="1" applyNumberFormat="1">
      <alignment vertical="center" wrapText="1"/>
    </xf>
    <xf numFmtId="0" fontId="49" fillId="0" borderId="0" xfId="0" applyFont="1" applyNumberFormat="1">
      <alignment horizontal="left" vertical="top" wrapText="1" indent="1"/>
    </xf>
    <xf numFmtId="0" fontId="60" fillId="39" borderId="0" xfId="0" applyFont="1" applyFill="1" applyNumberFormat="1"/>
    <xf numFmtId="0" fontId="53" fillId="39" borderId="0" xfId="0" applyFont="1" applyFill="1" applyNumberFormat="1">
      <alignment horizontal="center"/>
    </xf>
    <xf numFmtId="0" fontId="53" fillId="39" borderId="0" xfId="0" applyFont="1" applyFill="1" applyNumberFormat="1"/>
    <xf numFmtId="0" fontId="61" fillId="39" borderId="0" xfId="0" applyFont="1" applyFill="1" applyNumberFormat="1">
      <alignment horizontal="right" vertical="center"/>
    </xf>
    <xf numFmtId="0" fontId="62" fillId="39" borderId="0" xfId="0" applyFont="1" applyFill="1" applyNumberFormat="1">
      <alignment vertical="center"/>
    </xf>
    <xf numFmtId="0" fontId="61" fillId="39" borderId="0" xfId="0" applyFont="1" applyFill="1" applyNumberFormat="1">
      <alignment horizontal="right" vertical="top"/>
    </xf>
    <xf numFmtId="0" fontId="62" fillId="39" borderId="0" xfId="0" applyFont="1" applyFill="1" applyNumberFormat="1">
      <alignment vertical="center" wrapText="1"/>
    </xf>
    <xf numFmtId="0" fontId="23" fillId="39" borderId="0" xfId="0" applyFont="1" applyFill="1" applyNumberFormat="1">
      <alignment horizontal="center"/>
    </xf>
    <xf numFmtId="0" fontId="37" fillId="0" borderId="0" xfId="0" applyFont="1" applyNumberFormat="1">
      <alignment horizontal="center" vertical="center" wrapText="1"/>
    </xf>
    <xf numFmtId="0" fontId="63" fillId="39" borderId="0" xfId="0" applyFont="1" applyFill="1" applyNumberFormat="1">
      <alignment horizontal="center" vertical="center" wrapText="1"/>
    </xf>
    <xf numFmtId="0" fontId="63" fillId="39" borderId="0" xfId="0" applyFont="1" applyFill="1" applyNumberFormat="1">
      <alignment horizontal="right" vertical="center" wrapText="1"/>
    </xf>
    <xf numFmtId="0" fontId="63" fillId="0" borderId="0" xfId="0" applyFont="1" applyNumberFormat="1">
      <alignment vertical="center" wrapText="1"/>
    </xf>
    <xf numFmtId="0" fontId="27" fillId="0" borderId="34" xfId="0" applyFont="1" applyBorder="1" applyNumberFormat="1">
      <alignment horizontal="left" vertical="center" wrapText="1" indent="1"/>
    </xf>
    <xf numFmtId="0" fontId="27" fillId="0" borderId="30" xfId="0" applyFont="1" applyBorder="1" applyNumberFormat="1">
      <alignment horizontal="left" vertical="center" wrapText="1" indent="1"/>
    </xf>
    <xf numFmtId="0" fontId="27" fillId="0" borderId="35" xfId="0" applyFont="1" applyBorder="1" applyNumberFormat="1">
      <alignment horizontal="left" vertical="center" wrapText="1" indent="1"/>
    </xf>
    <xf numFmtId="0" fontId="64" fillId="39" borderId="0" xfId="0" applyFont="1" applyFill="1" applyNumberFormat="1">
      <alignment horizontal="center" vertical="center" wrapText="1"/>
    </xf>
    <xf numFmtId="0" fontId="23" fillId="0" borderId="21"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3"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35" xfId="0" applyFont="1" applyBorder="1" applyNumberFormat="1">
      <alignment horizontal="center" vertical="center" wrapText="1"/>
    </xf>
    <xf numFmtId="0" fontId="23" fillId="0" borderId="34" xfId="0" applyFont="1" applyBorder="1" applyNumberFormat="1">
      <alignment horizontal="center" vertical="center" wrapText="1"/>
    </xf>
    <xf numFmtId="0" fontId="47" fillId="39" borderId="0" xfId="0" applyFont="1" applyFill="1" applyNumberFormat="1">
      <alignment horizontal="center" vertical="center" wrapText="1"/>
    </xf>
    <xf numFmtId="0" fontId="65" fillId="39" borderId="0" xfId="0" applyFont="1" applyFill="1" applyNumberFormat="1">
      <alignment horizontal="center" vertical="center" wrapText="1"/>
    </xf>
    <xf numFmtId="0" fontId="55" fillId="0" borderId="0" xfId="0" applyFont="1" applyNumberFormat="1">
      <alignment vertical="center" wrapText="1"/>
    </xf>
    <xf numFmtId="0" fontId="27" fillId="40" borderId="21" xfId="0" applyFont="1" applyFill="1" applyBorder="1" applyNumberFormat="1">
      <alignment horizontal="left" vertical="center" wrapText="1"/>
    </xf>
    <xf numFmtId="0" fontId="23" fillId="35" borderId="23" xfId="0" applyFont="1" applyFill="1" applyBorder="1" applyNumberFormat="1">
      <alignment horizontal="right" vertical="center" wrapText="1"/>
      <protection locked="0"/>
    </xf>
    <xf numFmtId="0" fontId="23" fillId="0" borderId="32" xfId="0" applyFont="1" applyBorder="1" applyNumberFormat="1">
      <alignment horizontal="left" vertical="top" wrapText="1"/>
    </xf>
    <xf numFmtId="0" fontId="48" fillId="41" borderId="25" xfId="0" applyFont="1" applyFill="1" applyBorder="1" applyNumberFormat="1">
      <alignment vertical="center"/>
    </xf>
    <xf numFmtId="0" fontId="23" fillId="0" borderId="30" xfId="0" applyFont="1" applyBorder="1" applyNumberFormat="1">
      <alignment horizontal="left" vertical="top" wrapText="1"/>
    </xf>
    <xf numFmtId="0" fontId="27" fillId="40" borderId="26" xfId="0" applyFont="1" applyFill="1" applyBorder="1" applyNumberFormat="1">
      <alignment horizontal="left" vertical="center" wrapText="1"/>
    </xf>
    <xf numFmtId="0" fontId="50" fillId="39" borderId="23" xfId="0" applyFont="1" applyFill="1" applyBorder="1" applyNumberFormat="1">
      <alignment horizontal="center" vertical="center" wrapText="1"/>
    </xf>
    <xf numFmtId="0" fontId="27" fillId="40" borderId="45" xfId="0" applyFont="1" applyFill="1" applyBorder="1" applyNumberFormat="1">
      <alignment horizontal="left" vertical="center" wrapText="1"/>
    </xf>
    <xf numFmtId="0" fontId="27" fillId="0" borderId="26" xfId="0" applyFont="1" applyBorder="1" applyNumberFormat="1">
      <alignment horizontal="left" vertical="top" wrapText="1" indent="1"/>
    </xf>
    <xf numFmtId="0" fontId="29" fillId="39" borderId="0" xfId="0" applyFont="1" applyFill="1" applyNumberFormat="1">
      <alignment horizontal="right" vertical="center"/>
    </xf>
    <xf numFmtId="0" fontId="29" fillId="39" borderId="0" xfId="0" applyFont="1" applyFill="1" applyNumberFormat="1">
      <alignment horizontal="right" vertical="center" wrapText="1"/>
    </xf>
    <xf numFmtId="0" fontId="50" fillId="39" borderId="29" xfId="0" applyFont="1" applyFill="1" applyBorder="1" applyNumberFormat="1">
      <alignment vertical="top" wrapText="1"/>
    </xf>
    <xf numFmtId="0" fontId="23" fillId="0" borderId="42" xfId="0" applyFont="1" applyBorder="1" applyNumberFormat="1">
      <alignment horizontal="left" vertical="top" wrapText="1"/>
    </xf>
    <xf numFmtId="0" fontId="50" fillId="39" borderId="0" xfId="0" applyFont="1" applyFill="1" applyNumberFormat="1">
      <alignment vertical="top" wrapText="1"/>
    </xf>
    <xf numFmtId="0" fontId="44" fillId="39" borderId="30" xfId="0" applyFont="1" applyFill="1" applyBorder="1" applyNumberFormat="1">
      <alignment horizontal="center" vertical="center" wrapText="1"/>
    </xf>
    <xf numFmtId="0" fontId="44" fillId="0" borderId="0" xfId="0" applyFont="1" applyNumberFormat="1">
      <alignment horizontal="left" vertical="center" wrapText="1"/>
    </xf>
    <xf numFmtId="0" fontId="49" fillId="0" borderId="0" xfId="0" applyFont="1" applyNumberFormat="1">
      <alignment vertical="top"/>
    </xf>
    <xf numFmtId="0" fontId="37" fillId="0" borderId="23" xfId="0" applyFont="1" applyBorder="1" applyNumberFormat="1">
      <alignment horizontal="center" vertical="center"/>
    </xf>
    <xf numFmtId="0" fontId="27" fillId="39" borderId="23" xfId="0" applyFont="1" applyFill="1" applyBorder="1" applyNumberFormat="1">
      <alignment horizontal="left" vertical="center" wrapText="1"/>
    </xf>
    <xf numFmtId="0" fontId="27" fillId="0" borderId="23" xfId="0" applyFont="1" applyBorder="1" applyNumberFormat="1">
      <alignment vertical="center" wrapText="1"/>
    </xf>
    <xf numFmtId="0" fontId="27" fillId="0" borderId="23" xfId="0" applyFont="1" applyBorder="1" applyNumberFormat="1">
      <alignment horizontal="left" vertical="center" wrapText="1" indent="6"/>
    </xf>
    <xf numFmtId="0" fontId="27" fillId="37" borderId="21" xfId="0" applyFont="1" applyFill="1" applyBorder="1" applyNumberFormat="1">
      <alignment horizontal="left" vertical="center" wrapText="1"/>
    </xf>
    <xf numFmtId="0" fontId="27" fillId="37" borderId="25" xfId="0" applyFont="1" applyFill="1" applyBorder="1" applyNumberFormat="1">
      <alignment horizontal="left" vertical="center" wrapText="1"/>
    </xf>
    <xf numFmtId="0" fontId="27" fillId="37" borderId="20" xfId="0" applyFont="1" applyFill="1" applyBorder="1" applyNumberFormat="1">
      <alignment horizontal="left" vertical="center" wrapText="1"/>
    </xf>
    <xf numFmtId="0" fontId="49" fillId="0" borderId="23" xfId="0" applyFont="1" applyBorder="1" applyNumberFormat="1">
      <alignment vertical="top" wrapText="1"/>
    </xf>
    <xf numFmtId="0" fontId="37" fillId="0" borderId="21" xfId="0" applyFont="1" applyBorder="1" applyNumberFormat="1">
      <alignment horizontal="center" vertical="center"/>
    </xf>
    <xf numFmtId="0" fontId="46" fillId="39" borderId="0" xfId="0" applyFont="1" applyFill="1" applyNumberFormat="1">
      <alignment horizontal="center" vertical="center" wrapText="1"/>
    </xf>
    <xf numFmtId="0" fontId="27" fillId="0" borderId="29" xfId="0" applyFont="1" applyBorder="1" applyNumberFormat="1">
      <alignment vertical="center" wrapText="1"/>
    </xf>
    <xf numFmtId="0" fontId="27" fillId="39" borderId="23" xfId="0" applyFont="1" applyFill="1" applyBorder="1" applyNumberFormat="1">
      <alignment horizontal="left" vertical="center" wrapText="1" indent="1"/>
    </xf>
    <xf numFmtId="0" fontId="27" fillId="39" borderId="23" xfId="0" applyFont="1" applyFill="1" applyBorder="1" applyNumberFormat="1">
      <alignment horizontal="left" vertical="center" wrapText="1" indent="2"/>
    </xf>
    <xf numFmtId="0" fontId="27" fillId="39" borderId="23" xfId="0" applyFont="1" applyFill="1" applyBorder="1" applyNumberFormat="1">
      <alignment horizontal="left" vertical="center" wrapText="1" indent="3"/>
    </xf>
    <xf numFmtId="0" fontId="37" fillId="0" borderId="23" xfId="0" applyFont="1" applyBorder="1" applyNumberFormat="1">
      <alignment horizontal="center" vertical="center" wrapText="1"/>
    </xf>
    <xf numFmtId="0" fontId="37" fillId="0" borderId="0" xfId="0" applyFont="1" applyNumberFormat="1">
      <alignment horizontal="center" vertical="center"/>
    </xf>
    <xf numFmtId="0" fontId="44" fillId="0" borderId="29" xfId="0" applyFont="1" applyBorder="1" applyNumberFormat="1">
      <alignment horizontal="center" vertical="center" wrapText="1"/>
    </xf>
    <xf numFmtId="0" fontId="27" fillId="39" borderId="23" xfId="0" applyFont="1" applyFill="1" applyBorder="1" applyNumberFormat="1">
      <alignment horizontal="left" vertical="center" wrapText="1" indent="4"/>
    </xf>
    <xf numFmtId="0" fontId="27" fillId="40" borderId="25" xfId="0" applyFont="1" applyFill="1" applyBorder="1" applyNumberFormat="1">
      <alignment horizontal="left" vertical="center" wrapText="1"/>
    </xf>
    <xf numFmtId="0" fontId="27" fillId="40" borderId="20" xfId="0" applyFont="1" applyFill="1" applyBorder="1" applyNumberFormat="1">
      <alignment horizontal="left" vertical="center" wrapText="1"/>
    </xf>
    <xf numFmtId="0" fontId="37" fillId="0" borderId="21" xfId="0" applyFont="1" applyBorder="1" applyNumberFormat="1">
      <alignment horizontal="center" vertical="center" wrapText="1"/>
    </xf>
    <xf numFmtId="0" fontId="44" fillId="0" borderId="29" xfId="0" applyFont="1" applyBorder="1" applyNumberFormat="1">
      <alignment vertical="center" wrapText="1"/>
    </xf>
    <xf numFmtId="0" fontId="27" fillId="39" borderId="23" xfId="0" applyFont="1" applyFill="1" applyBorder="1" applyNumberFormat="1">
      <alignment horizontal="left" vertical="center" wrapText="1" indent="5"/>
    </xf>
    <xf numFmtId="0" fontId="27" fillId="40" borderId="23" xfId="0" applyFont="1" applyFill="1" applyBorder="1" applyNumberFormat="1">
      <alignment horizontal="left" vertical="center" wrapText="1" indent="6"/>
    </xf>
    <xf numFmtId="0" fontId="49" fillId="0" borderId="32" xfId="0" applyFont="1" applyBorder="1" applyNumberFormat="1">
      <alignment horizontal="left" vertical="top" wrapText="1"/>
    </xf>
    <xf numFmtId="0" fontId="49" fillId="0" borderId="42" xfId="0" applyFont="1" applyBorder="1" applyNumberFormat="1">
      <alignment horizontal="left" vertical="top" wrapText="1"/>
    </xf>
    <xf numFmtId="0" fontId="49" fillId="0" borderId="30" xfId="0" applyFont="1" applyBorder="1" applyNumberFormat="1">
      <alignment horizontal="left" vertical="top" wrapText="1"/>
    </xf>
    <xf numFmtId="0" fontId="70" fillId="39" borderId="0" xfId="0" applyFont="1" applyFill="1" applyNumberFormat="1">
      <alignment vertical="center" wrapText="1"/>
    </xf>
    <xf numFmtId="0" fontId="27" fillId="39" borderId="0" xfId="0" applyFont="1" applyFill="1" applyNumberFormat="1">
      <alignment horizontal="left" vertical="center" wrapText="1"/>
    </xf>
    <xf numFmtId="0" fontId="31" fillId="39" borderId="0" xfId="0" applyFont="1" applyFill="1" applyNumberFormat="1">
      <alignment horizontal="center" vertical="center" wrapText="1"/>
    </xf>
    <xf numFmtId="0" fontId="23" fillId="39" borderId="23" xfId="0" applyFont="1" applyFill="1" applyBorder="1" applyNumberFormat="1">
      <alignment horizontal="right" vertical="center" wrapText="1" indent="1"/>
    </xf>
    <xf numFmtId="0" fontId="23" fillId="0" borderId="25" xfId="0" applyFont="1" applyBorder="1" applyNumberFormat="1">
      <alignment vertical="center"/>
    </xf>
    <xf numFmtId="0" fontId="27" fillId="37" borderId="23" xfId="0" applyFont="1" applyFill="1" applyBorder="1" applyNumberFormat="1">
      <alignment horizontal="left" vertical="center" wrapText="1" indent="1"/>
    </xf>
    <xf numFmtId="0" fontId="27" fillId="39" borderId="45" xfId="0" applyFont="1" applyFill="1" applyBorder="1" applyNumberFormat="1">
      <alignment vertical="center" wrapText="1"/>
    </xf>
    <xf numFmtId="0" fontId="50" fillId="0" borderId="45" xfId="0" applyFont="1" applyBorder="1" applyNumberFormat="1">
      <alignment horizontal="center" vertical="center" wrapText="1"/>
    </xf>
    <xf numFmtId="0" fontId="27" fillId="0" borderId="32" xfId="0" applyFont="1" applyBorder="1" applyNumberFormat="1">
      <alignment vertical="center" wrapText="1"/>
    </xf>
    <xf numFmtId="0" fontId="23" fillId="39" borderId="21" xfId="0" applyFont="1" applyFill="1" applyBorder="1" applyNumberFormat="1">
      <alignment horizontal="center" vertical="center" wrapText="1"/>
    </xf>
    <xf numFmtId="0" fontId="23" fillId="39" borderId="25" xfId="0" applyFont="1" applyFill="1" applyBorder="1" applyNumberFormat="1">
      <alignment horizontal="center" vertical="center" wrapText="1"/>
    </xf>
    <xf numFmtId="0" fontId="23" fillId="39" borderId="20" xfId="0" applyFont="1" applyFill="1" applyBorder="1" applyNumberFormat="1">
      <alignment horizontal="center" vertical="center" wrapText="1"/>
    </xf>
    <xf numFmtId="0" fontId="27" fillId="39" borderId="32" xfId="0" applyFont="1" applyFill="1" applyBorder="1" applyNumberFormat="1">
      <alignment horizontal="center" vertical="center" wrapText="1"/>
    </xf>
    <xf numFmtId="0" fontId="27" fillId="0" borderId="42" xfId="0" applyFont="1" applyBorder="1" applyNumberFormat="1">
      <alignment vertical="center" wrapText="1"/>
    </xf>
    <xf numFmtId="0" fontId="37" fillId="0" borderId="32" xfId="0" applyFont="1" applyBorder="1" applyNumberFormat="1">
      <alignment horizontal="center" vertical="center" wrapText="1"/>
    </xf>
    <xf numFmtId="0" fontId="27" fillId="39" borderId="42" xfId="0" applyFont="1" applyFill="1" applyBorder="1" applyNumberFormat="1">
      <alignment horizontal="center" vertical="center" wrapText="1"/>
    </xf>
    <xf numFmtId="0" fontId="27" fillId="0" borderId="30" xfId="0" applyFont="1" applyBorder="1" applyNumberFormat="1">
      <alignment vertical="center" wrapText="1"/>
    </xf>
    <xf numFmtId="0" fontId="37" fillId="0" borderId="30" xfId="0" applyFont="1" applyBorder="1" applyNumberFormat="1">
      <alignment horizontal="center" vertical="center" wrapText="1"/>
    </xf>
    <xf numFmtId="0" fontId="27" fillId="39" borderId="30" xfId="0" applyFont="1" applyFill="1" applyBorder="1" applyNumberFormat="1">
      <alignment horizontal="center" vertical="center" wrapText="1"/>
    </xf>
    <xf numFmtId="0" fontId="81" fillId="39" borderId="0" xfId="0" applyFont="1" applyFill="1" applyNumberFormat="1">
      <alignment vertical="center" wrapText="1"/>
    </xf>
    <xf numFmtId="0" fontId="82" fillId="39" borderId="0" xfId="0" applyFont="1" applyFill="1" applyNumberFormat="1">
      <alignment vertical="center" wrapText="1"/>
    </xf>
    <xf numFmtId="0" fontId="44" fillId="39" borderId="26" xfId="0" applyFont="1" applyFill="1" applyBorder="1" applyNumberFormat="1">
      <alignment horizontal="center" vertical="center" wrapText="1"/>
    </xf>
    <xf numFmtId="0" fontId="65" fillId="39" borderId="26" xfId="0" applyFont="1" applyFill="1" applyBorder="1" applyNumberFormat="1">
      <alignment horizontal="center" vertical="center" wrapText="1"/>
    </xf>
    <xf numFmtId="0" fontId="37" fillId="0" borderId="0" xfId="0" applyFont="1" applyNumberFormat="1">
      <alignment horizontal="left" vertical="center" indent="1"/>
    </xf>
    <xf numFmtId="0" fontId="70" fillId="0" borderId="0" xfId="0" applyFont="1" applyNumberFormat="1">
      <alignment vertical="center" wrapText="1"/>
    </xf>
    <xf numFmtId="0" fontId="27" fillId="0" borderId="23" xfId="0" applyFont="1" applyBorder="1" applyNumberFormat="1">
      <alignment horizontal="center" vertical="center"/>
    </xf>
    <xf numFmtId="0" fontId="27" fillId="0" borderId="21" xfId="0" applyFont="1" applyBorder="1" applyNumberFormat="1">
      <alignment horizontal="center" vertical="center"/>
    </xf>
    <xf numFmtId="0" fontId="27" fillId="0" borderId="0" xfId="0" applyFont="1" applyNumberFormat="1">
      <alignment horizontal="center" vertical="center"/>
    </xf>
    <xf numFmtId="0" fontId="55" fillId="0" borderId="0" xfId="0" applyFont="1" applyNumberFormat="1">
      <alignment horizontal="left" vertical="center" indent="1"/>
    </xf>
    <xf numFmtId="0" fontId="23" fillId="39" borderId="26" xfId="0" applyFont="1" applyFill="1" applyBorder="1" applyNumberFormat="1">
      <alignment horizontal="center" vertical="center" wrapText="1"/>
    </xf>
    <xf numFmtId="0" fontId="44" fillId="0" borderId="32" xfId="0" applyFont="1" applyBorder="1" applyNumberFormat="1">
      <alignment horizontal="center" vertical="center" wrapText="1"/>
    </xf>
    <xf numFmtId="0" fontId="44" fillId="0" borderId="23" xfId="0" applyFont="1" applyBorder="1" applyNumberFormat="1">
      <alignment horizontal="left" vertical="center" wrapText="1" indent="4"/>
    </xf>
    <xf numFmtId="0" fontId="44" fillId="0" borderId="23" xfId="0" applyFont="1" applyBorder="1" applyNumberFormat="1">
      <alignment horizontal="left" vertical="center" wrapText="1" indent="6"/>
    </xf>
    <xf numFmtId="0" fontId="44" fillId="0" borderId="21" xfId="0" applyFont="1" applyBorder="1" applyNumberFormat="1">
      <alignment horizontal="left" vertical="center" wrapText="1"/>
    </xf>
    <xf numFmtId="0" fontId="44" fillId="0" borderId="25" xfId="0" applyFont="1" applyBorder="1" applyNumberFormat="1">
      <alignment horizontal="left" vertical="center" wrapText="1"/>
    </xf>
    <xf numFmtId="0" fontId="44" fillId="0" borderId="20" xfId="0" applyFont="1" applyBorder="1" applyNumberFormat="1">
      <alignment horizontal="left" vertical="center" wrapText="1"/>
    </xf>
    <xf numFmtId="0" fontId="44" fillId="0" borderId="23" xfId="0" applyFont="1" applyBorder="1" applyNumberFormat="1">
      <alignment vertical="top" wrapText="1"/>
    </xf>
    <xf numFmtId="0" fontId="44" fillId="0" borderId="0" xfId="0" applyFont="1" applyNumberFormat="1">
      <alignment horizontal="center" vertical="center"/>
    </xf>
    <xf numFmtId="0" fontId="27" fillId="39" borderId="32" xfId="0" applyFont="1" applyFill="1" applyBorder="1" applyNumberFormat="1">
      <alignment horizontal="left" vertical="center" wrapText="1"/>
    </xf>
    <xf numFmtId="0" fontId="27" fillId="39" borderId="32" xfId="0" applyFont="1" applyFill="1" applyBorder="1" applyNumberFormat="1">
      <alignment horizontal="left" vertical="center" wrapText="1" indent="2"/>
    </xf>
    <xf numFmtId="0" fontId="27" fillId="0" borderId="32" xfId="0" applyFont="1" applyBorder="1" applyNumberFormat="1">
      <alignment horizontal="left" vertical="center" wrapText="1" indent="6"/>
    </xf>
    <xf numFmtId="0" fontId="27" fillId="37" borderId="33" xfId="0" applyFont="1" applyFill="1" applyBorder="1" applyNumberFormat="1">
      <alignment horizontal="left" vertical="center" wrapText="1"/>
    </xf>
    <xf numFmtId="0" fontId="27" fillId="37" borderId="26" xfId="0" applyFont="1" applyFill="1" applyBorder="1" applyNumberFormat="1">
      <alignment horizontal="left" vertical="center" wrapText="1"/>
    </xf>
    <xf numFmtId="0" fontId="27" fillId="37" borderId="27" xfId="0" applyFont="1" applyFill="1" applyBorder="1" applyNumberFormat="1">
      <alignment horizontal="left" vertical="center" wrapText="1"/>
    </xf>
    <xf numFmtId="0" fontId="27" fillId="37" borderId="23" xfId="0" applyFont="1" applyFill="1" applyBorder="1" applyNumberFormat="1">
      <alignment horizontal="left" vertical="center" wrapText="1"/>
    </xf>
    <xf numFmtId="0" fontId="49" fillId="0" borderId="20" xfId="0" applyFont="1" applyBorder="1" applyNumberFormat="1">
      <alignment vertical="top" wrapText="1"/>
    </xf>
    <xf numFmtId="0" fontId="44" fillId="0" borderId="20" xfId="0" applyFont="1" applyBorder="1" applyNumberFormat="1">
      <alignment vertical="top" wrapText="1"/>
    </xf>
    <xf numFmtId="0" fontId="27" fillId="40" borderId="23" xfId="0" applyFont="1" applyFill="1" applyBorder="1" applyNumberFormat="1">
      <alignment horizontal="left" vertical="center" wrapText="1"/>
    </xf>
    <xf numFmtId="0" fontId="27" fillId="39" borderId="30" xfId="0" applyFont="1" applyFill="1" applyBorder="1" applyNumberFormat="1">
      <alignment horizontal="left" vertical="center" wrapText="1"/>
    </xf>
    <xf numFmtId="0" fontId="27" fillId="40" borderId="30" xfId="0" applyFont="1" applyFill="1" applyBorder="1" applyNumberFormat="1">
      <alignment horizontal="left" vertical="center" wrapText="1" indent="6"/>
    </xf>
    <xf numFmtId="0" fontId="27" fillId="0" borderId="30" xfId="0" applyFont="1" applyBorder="1" applyNumberFormat="1">
      <alignment horizontal="left" vertical="center" wrapText="1" indent="6"/>
    </xf>
    <xf numFmtId="0" fontId="27" fillId="40" borderId="27" xfId="0" applyFont="1" applyFill="1" applyBorder="1" applyNumberFormat="1">
      <alignment horizontal="left" vertical="center" wrapText="1"/>
    </xf>
    <xf numFmtId="0" fontId="49" fillId="0" borderId="32" xfId="0" applyFont="1" applyBorder="1" applyNumberFormat="1">
      <alignment vertical="top" wrapText="1"/>
    </xf>
    <xf numFmtId="0" fontId="27" fillId="35" borderId="23" xfId="0" applyFont="1" applyFill="1" applyBorder="1" applyNumberFormat="1">
      <alignment horizontal="left" vertical="center" wrapText="1" indent="7"/>
      <protection locked="0"/>
    </xf>
    <xf numFmtId="0" fontId="27" fillId="41" borderId="25" xfId="0" applyFont="1" applyFill="1" applyBorder="1" applyNumberFormat="1">
      <alignment horizontal="left" vertical="center" wrapText="1" indent="6"/>
    </xf>
    <xf numFmtId="0" fontId="27" fillId="0" borderId="26" xfId="0" applyFont="1" applyBorder="1" applyNumberFormat="1">
      <alignment horizontal="center" vertical="center" wrapText="1"/>
    </xf>
    <xf numFmtId="0" fontId="27" fillId="0" borderId="45" xfId="0" applyFont="1" applyBorder="1" applyNumberFormat="1">
      <alignment horizontal="center" vertical="center" wrapText="1"/>
    </xf>
    <xf numFmtId="0" fontId="23" fillId="0" borderId="42" xfId="0" applyFont="1" applyBorder="1" applyNumberFormat="1">
      <alignment horizontal="center" vertical="center" wrapText="1"/>
    </xf>
    <xf numFmtId="0" fontId="55" fillId="0" borderId="0" xfId="0" applyFont="1" applyNumberFormat="1">
      <alignment horizontal="center" vertical="center"/>
    </xf>
    <xf numFmtId="0" fontId="45" fillId="39" borderId="0" xfId="0" applyFont="1" applyFill="1" applyNumberFormat="1">
      <alignment horizontal="center" vertical="center" wrapText="1"/>
    </xf>
    <xf numFmtId="0" fontId="44" fillId="0" borderId="23" xfId="0" applyFont="1" applyBorder="1" applyNumberFormat="1">
      <alignment horizontal="left" vertical="center" wrapText="1" indent="5"/>
    </xf>
    <xf numFmtId="0" fontId="44" fillId="0" borderId="29" xfId="0" applyFont="1" applyBorder="1" applyNumberFormat="1">
      <alignment horizontal="center" vertical="top" wrapText="1"/>
    </xf>
    <xf numFmtId="0" fontId="50" fillId="0" borderId="23" xfId="0" applyFont="1" applyBorder="1" applyNumberFormat="1">
      <alignment horizontal="center" vertical="center" wrapText="1"/>
    </xf>
    <xf numFmtId="0" fontId="27" fillId="0" borderId="23" xfId="0" applyFont="1" applyBorder="1" applyNumberFormat="1">
      <alignment horizontal="left" vertical="center" wrapText="1" indent="4"/>
    </xf>
    <xf numFmtId="0" fontId="27" fillId="39" borderId="42" xfId="0" applyFont="1" applyFill="1" applyBorder="1" applyNumberFormat="1">
      <alignment horizontal="left" vertical="center" wrapText="1"/>
    </xf>
    <xf numFmtId="0" fontId="44" fillId="0" borderId="29" xfId="0" applyFont="1" applyBorder="1" applyNumberFormat="1">
      <alignment horizontal="left" vertical="center" wrapText="1" indent="1"/>
    </xf>
    <xf numFmtId="0" fontId="37" fillId="0" borderId="0" xfId="0" applyFont="1" applyNumberFormat="1">
      <alignment horizontal="left" vertical="center"/>
    </xf>
    <xf numFmtId="0" fontId="83" fillId="39" borderId="0" xfId="0" applyFont="1" applyFill="1" applyNumberFormat="1">
      <alignment vertical="center" wrapText="1"/>
    </xf>
    <xf numFmtId="0" fontId="27" fillId="39" borderId="33" xfId="0" applyFont="1" applyFill="1" applyBorder="1" applyNumberFormat="1">
      <alignment horizontal="center" vertical="center" wrapText="1"/>
    </xf>
    <xf numFmtId="0" fontId="23" fillId="39" borderId="33" xfId="0" applyFont="1" applyFill="1" applyBorder="1" applyNumberFormat="1">
      <alignment horizontal="center" vertical="center" wrapText="1"/>
    </xf>
    <xf numFmtId="0" fontId="23" fillId="39" borderId="27" xfId="0" applyFont="1" applyFill="1" applyBorder="1" applyNumberFormat="1">
      <alignment horizontal="center" vertical="center" wrapText="1"/>
    </xf>
    <xf numFmtId="0" fontId="27" fillId="39" borderId="28" xfId="0" applyFont="1" applyFill="1" applyBorder="1" applyNumberFormat="1">
      <alignment horizontal="center" vertical="center" wrapText="1"/>
    </xf>
    <xf numFmtId="0" fontId="23" fillId="39" borderId="28" xfId="0" applyFont="1" applyFill="1" applyBorder="1" applyNumberFormat="1">
      <alignment horizontal="center" vertical="center" wrapText="1"/>
    </xf>
    <xf numFmtId="0" fontId="23" fillId="39" borderId="0" xfId="0" applyFont="1" applyFill="1" applyNumberFormat="1">
      <alignment horizontal="center" vertical="center" wrapText="1"/>
    </xf>
    <xf numFmtId="0" fontId="23" fillId="39" borderId="29" xfId="0" applyFont="1" applyFill="1" applyBorder="1" applyNumberFormat="1">
      <alignment horizontal="center" vertical="center" wrapText="1"/>
    </xf>
    <xf numFmtId="0" fontId="27" fillId="37" borderId="23" xfId="0" applyFont="1" applyFill="1" applyBorder="1" applyNumberFormat="1">
      <alignment horizontal="center" vertical="center" wrapText="1"/>
    </xf>
    <xf numFmtId="0" fontId="27" fillId="38" borderId="23" xfId="0" applyFont="1" applyFill="1" applyBorder="1" applyNumberFormat="1">
      <alignment horizontal="center" vertical="center" wrapText="1"/>
      <protection locked="0"/>
    </xf>
    <xf numFmtId="0" fontId="27" fillId="39" borderId="35" xfId="0" applyFont="1" applyFill="1" applyBorder="1" applyNumberFormat="1">
      <alignment horizontal="center" vertical="center" wrapText="1"/>
    </xf>
    <xf numFmtId="0" fontId="23" fillId="39" borderId="35" xfId="0" applyFont="1" applyFill="1" applyBorder="1" applyNumberFormat="1">
      <alignment horizontal="center" vertical="center" wrapText="1"/>
    </xf>
    <xf numFmtId="0" fontId="23" fillId="39" borderId="45" xfId="0" applyFont="1" applyFill="1" applyBorder="1" applyNumberFormat="1">
      <alignment horizontal="center" vertical="center" wrapText="1"/>
    </xf>
    <xf numFmtId="0" fontId="23" fillId="39" borderId="34" xfId="0" applyFont="1" applyFill="1" applyBorder="1" applyNumberFormat="1">
      <alignment horizontal="center" vertical="center" wrapText="1"/>
    </xf>
    <xf numFmtId="0" fontId="27" fillId="0" borderId="23" xfId="0" applyFont="1" applyBorder="1" applyNumberFormat="1">
      <alignment horizontal="left" vertical="center" wrapText="1" indent="1"/>
    </xf>
    <xf numFmtId="0" fontId="83" fillId="0" borderId="0" xfId="0" applyFont="1" applyNumberFormat="1">
      <alignment vertical="center" wrapText="1"/>
    </xf>
    <xf numFmtId="0" fontId="27" fillId="35" borderId="21" xfId="0" applyFont="1" applyFill="1" applyBorder="1" applyNumberFormat="1">
      <alignment horizontal="left" vertical="center" wrapText="1"/>
      <protection locked="0"/>
    </xf>
    <xf numFmtId="0" fontId="27" fillId="35" borderId="25" xfId="0" applyFont="1" applyFill="1" applyBorder="1" applyNumberFormat="1">
      <alignment horizontal="left" vertical="center" wrapText="1"/>
      <protection locked="0"/>
    </xf>
    <xf numFmtId="0" fontId="27" fillId="35" borderId="20" xfId="0" applyFont="1" applyFill="1" applyBorder="1" applyNumberFormat="1">
      <alignment horizontal="left" vertical="center" wrapText="1"/>
      <protection locked="0"/>
    </xf>
    <xf numFmtId="0" fontId="49" fillId="0" borderId="23" xfId="0" applyFont="1" applyBorder="1" applyNumberFormat="1">
      <alignment horizontal="left" vertical="top" wrapText="1"/>
    </xf>
    <xf numFmtId="0" fontId="27" fillId="0" borderId="0" xfId="0" applyFont="1" applyNumberFormat="1">
      <alignment horizontal="left" vertical="center"/>
    </xf>
    <xf numFmtId="0" fontId="27" fillId="38" borderId="20" xfId="0" applyFont="1" applyFill="1" applyBorder="1" applyNumberFormat="1">
      <alignment horizontal="center" vertical="center" wrapText="1"/>
      <protection locked="0"/>
    </xf>
    <xf numFmtId="0" fontId="27" fillId="39" borderId="34" xfId="0" applyFont="1" applyFill="1" applyBorder="1" applyNumberFormat="1">
      <alignment horizontal="center" vertical="center" wrapText="1"/>
    </xf>
    <xf numFmtId="0" fontId="88" fillId="39" borderId="0" xfId="0" applyFont="1" applyFill="1" applyNumberFormat="1">
      <alignment horizontal="center" vertical="center" wrapText="1"/>
    </xf>
    <xf numFmtId="0" fontId="44" fillId="39" borderId="23" xfId="0" applyFont="1" applyFill="1" applyBorder="1" applyNumberFormat="1">
      <alignment horizontal="left" vertical="center" wrapText="1" indent="3"/>
    </xf>
    <xf numFmtId="0" fontId="44" fillId="0" borderId="26" xfId="0" applyFont="1" applyBorder="1" applyNumberFormat="1">
      <alignment horizontal="left" vertical="center" wrapText="1"/>
    </xf>
    <xf numFmtId="0" fontId="27" fillId="0" borderId="66" xfId="0" applyFont="1" applyBorder="1" applyNumberFormat="1">
      <alignment horizontal="center" vertical="center" wrapText="1"/>
    </xf>
    <xf numFmtId="0" fontId="27" fillId="38" borderId="23" xfId="0" applyFont="1" applyFill="1" applyBorder="1" applyNumberFormat="1">
      <alignment horizontal="left" vertical="center" wrapText="1" indent="2"/>
      <protection locked="0"/>
    </xf>
    <xf numFmtId="0" fontId="44" fillId="0" borderId="66" xfId="0" applyFont="1" applyBorder="1" applyNumberFormat="1">
      <alignment horizontal="center" vertical="center" wrapText="1"/>
    </xf>
    <xf numFmtId="0" fontId="44" fillId="0" borderId="23" xfId="0" applyFont="1" applyBorder="1" applyNumberFormat="1">
      <alignment horizontal="left" vertical="center" wrapText="1" indent="2"/>
    </xf>
    <xf numFmtId="0" fontId="27" fillId="0" borderId="23" xfId="0" applyFont="1" applyBorder="1" applyNumberFormat="1">
      <alignment horizontal="left" vertical="center" wrapText="1" indent="3"/>
    </xf>
    <xf numFmtId="0" fontId="27" fillId="35" borderId="23" xfId="0" applyFont="1" applyFill="1" applyBorder="1" applyNumberFormat="1">
      <alignment horizontal="left" vertical="center" wrapText="1"/>
      <protection locked="0"/>
    </xf>
    <xf numFmtId="0" fontId="27" fillId="0" borderId="20" xfId="0" applyFont="1" applyBorder="1" applyNumberFormat="1">
      <alignment vertical="top" wrapText="1"/>
    </xf>
    <xf numFmtId="0" fontId="27" fillId="0" borderId="27" xfId="0" applyFont="1" applyBorder="1" applyNumberFormat="1">
      <alignment vertical="center" wrapText="1"/>
    </xf>
    <xf numFmtId="0" fontId="0" fillId="0" borderId="0" xfId="0" applyFont="1" applyNumberFormat="1">
      <alignment vertical="top"/>
    </xf>
    <xf numFmtId="0" fontId="80" fillId="39" borderId="0" xfId="0" applyFont="1" applyFill="1" applyNumberFormat="1">
      <alignment horizontal="right" vertical="center"/>
    </xf>
    <xf numFmtId="0" fontId="27" fillId="0" borderId="21" xfId="0" applyFont="1" applyBorder="1" applyNumberFormat="1">
      <alignment vertical="center" wrapText="1"/>
    </xf>
    <xf numFmtId="0" fontId="27" fillId="0" borderId="25" xfId="0" applyFont="1" applyBorder="1" applyNumberFormat="1">
      <alignment horizontal="right" vertical="center" wrapText="1" indent="1"/>
    </xf>
    <xf numFmtId="0" fontId="27" fillId="0" borderId="20" xfId="0" applyFont="1" applyBorder="1" applyNumberFormat="1">
      <alignment horizontal="right" vertical="center" wrapText="1" indent="1"/>
    </xf>
    <xf numFmtId="0" fontId="27" fillId="37" borderId="21" xfId="0" applyFont="1" applyFill="1" applyBorder="1" applyNumberFormat="1">
      <alignment horizontal="left" vertical="top" wrapText="1"/>
    </xf>
    <xf numFmtId="0" fontId="27" fillId="0" borderId="21" xfId="0" applyFont="1" applyBorder="1" applyNumberFormat="1">
      <alignment horizontal="right" vertical="center" wrapText="1"/>
    </xf>
    <xf numFmtId="0" fontId="27" fillId="0" borderId="25" xfId="0" applyFont="1" applyBorder="1" applyNumberFormat="1">
      <alignment horizontal="right" vertical="center" wrapText="1"/>
    </xf>
    <xf numFmtId="0" fontId="55" fillId="0" borderId="0" xfId="0" applyFont="1" applyNumberFormat="1">
      <alignment horizontal="center" vertical="center" wrapText="1"/>
    </xf>
    <xf numFmtId="0" fontId="55" fillId="0" borderId="23" xfId="0" applyFont="1" applyBorder="1" applyNumberFormat="1">
      <alignment horizontal="left" vertical="center" wrapText="1" indent="2"/>
    </xf>
    <xf numFmtId="0" fontId="55" fillId="0" borderId="23" xfId="0" applyFont="1" applyBorder="1" applyNumberFormat="1">
      <alignment horizontal="center" vertical="center" wrapText="1"/>
    </xf>
    <xf numFmtId="0" fontId="55" fillId="0" borderId="23" xfId="0" applyFont="1" applyBorder="1" applyNumberFormat="1">
      <alignment vertical="center" wrapText="1"/>
    </xf>
    <xf numFmtId="0" fontId="55" fillId="0" borderId="66" xfId="0" applyFont="1" applyBorder="1" applyNumberFormat="1">
      <alignment horizontal="center" vertical="center" wrapText="1"/>
    </xf>
    <xf numFmtId="0" fontId="55" fillId="0" borderId="23" xfId="0" applyFont="1" applyBorder="1" applyNumberFormat="1">
      <alignment horizontal="left" vertical="center" wrapText="1" indent="3"/>
    </xf>
    <xf numFmtId="0" fontId="27" fillId="41" borderId="25" xfId="0" applyFont="1" applyFill="1" applyBorder="1" applyNumberFormat="1">
      <alignment vertical="center" wrapText="1"/>
    </xf>
    <xf numFmtId="0" fontId="37" fillId="41" borderId="20" xfId="0" applyFont="1" applyFill="1" applyBorder="1" applyNumberFormat="1">
      <alignment vertical="center" wrapText="1"/>
    </xf>
    <xf numFmtId="0" fontId="27" fillId="0" borderId="23" xfId="0" applyFont="1" applyBorder="1" applyNumberFormat="1">
      <alignment horizontal="left" vertical="center" wrapText="1" indent="2"/>
    </xf>
    <xf numFmtId="0" fontId="37" fillId="0" borderId="0" xfId="0" applyFont="1" applyNumberFormat="1">
      <alignment horizontal="left" vertical="center" wrapText="1"/>
    </xf>
    <xf numFmtId="0" fontId="44" fillId="0" borderId="23" xfId="0" applyFont="1" applyBorder="1" applyNumberFormat="1">
      <alignment horizontal="left" vertical="center" wrapText="1" indent="3"/>
    </xf>
    <xf numFmtId="0" fontId="44" fillId="0" borderId="32" xfId="0" applyFont="1" applyBorder="1" applyNumberFormat="1">
      <alignment vertical="top" wrapText="1"/>
    </xf>
    <xf numFmtId="0" fontId="27" fillId="0" borderId="21" xfId="0" applyFont="1" applyBorder="1" applyNumberFormat="1">
      <alignment horizontal="left" vertical="center" wrapText="1" indent="2"/>
    </xf>
    <xf numFmtId="0" fontId="27" fillId="0" borderId="21" xfId="0" applyFont="1" applyBorder="1" applyNumberFormat="1">
      <alignment horizontal="left" vertical="center" wrapText="1" indent="1"/>
    </xf>
    <xf numFmtId="49" fontId="42" fillId="38" borderId="23" xfId="0" applyFont="1" applyFill="1" applyBorder="1" applyNumberFormat="1">
      <alignment horizontal="left" vertical="center" wrapText="1"/>
      <protection locked="0"/>
    </xf>
    <xf numFmtId="49" fontId="42" fillId="38" borderId="20" xfId="0" applyFont="1" applyFill="1" applyBorder="1" applyNumberFormat="1">
      <alignment horizontal="left" vertical="center" wrapText="1"/>
      <protection locked="0"/>
    </xf>
    <xf numFmtId="0" fontId="44" fillId="0" borderId="42" xfId="0" applyFont="1" applyBorder="1" applyNumberFormat="1">
      <alignment horizontal="left" vertical="center" wrapText="1" indent="1"/>
    </xf>
    <xf numFmtId="0" fontId="44" fillId="0" borderId="42" xfId="0" applyFont="1" applyBorder="1" applyNumberFormat="1">
      <alignment horizontal="center" vertical="center" wrapText="1"/>
    </xf>
    <xf numFmtId="0" fontId="44" fillId="0" borderId="32" xfId="0" applyFont="1" applyBorder="1" applyNumberFormat="1">
      <alignment vertical="center" wrapText="1"/>
    </xf>
    <xf numFmtId="0" fontId="27" fillId="0" borderId="30" xfId="0" applyFont="1" applyBorder="1" applyNumberFormat="1">
      <alignment vertical="top" wrapText="1"/>
    </xf>
    <xf numFmtId="0" fontId="44" fillId="0" borderId="30" xfId="0" applyFont="1" applyBorder="1" applyNumberFormat="1">
      <alignment horizontal="left" vertical="center" wrapText="1" indent="1"/>
    </xf>
    <xf numFmtId="0" fontId="44" fillId="0" borderId="32" xfId="0" applyFont="1" applyBorder="1" applyNumberFormat="1">
      <alignment horizontal="left" vertical="center" wrapText="1" indent="1"/>
    </xf>
    <xf numFmtId="0" fontId="67" fillId="0" borderId="0" xfId="0" applyFont="1" applyNumberFormat="1">
      <alignment vertical="center" wrapText="1"/>
    </xf>
    <xf numFmtId="0" fontId="27" fillId="0" borderId="26" xfId="0" applyFont="1" applyBorder="1" applyNumberFormat="1">
      <alignment vertical="center" wrapText="1"/>
    </xf>
    <xf numFmtId="0" fontId="27" fillId="0" borderId="45" xfId="0" applyFont="1" applyBorder="1" applyNumberFormat="1">
      <alignment vertical="center" wrapText="1"/>
    </xf>
    <xf numFmtId="0" fontId="84" fillId="39" borderId="0" xfId="0" applyFont="1" applyFill="1" applyNumberFormat="1">
      <alignment horizontal="right" vertical="center"/>
    </xf>
    <xf numFmtId="0" fontId="23" fillId="0" borderId="0" xfId="0" applyFont="1" applyNumberFormat="1">
      <alignment vertical="top"/>
    </xf>
    <xf numFmtId="0" fontId="23" fillId="0" borderId="21" xfId="0" applyFont="1" applyBorder="1" applyNumberFormat="1">
      <alignment horizontal="right" vertical="center" wrapText="1" indent="1"/>
    </xf>
    <xf numFmtId="0" fontId="23" fillId="0" borderId="25" xfId="0" applyFont="1" applyBorder="1" applyNumberFormat="1">
      <alignment horizontal="right" vertical="center" wrapText="1" indent="1"/>
    </xf>
    <xf numFmtId="0" fontId="23" fillId="0" borderId="20" xfId="0" applyFont="1" applyBorder="1" applyNumberFormat="1">
      <alignment horizontal="right" vertical="center" wrapText="1" indent="1"/>
    </xf>
    <xf numFmtId="0" fontId="27" fillId="0" borderId="20" xfId="0" applyFont="1" applyBorder="1" applyNumberFormat="1">
      <alignment horizontal="left" vertical="center" wrapText="1" indent="1"/>
    </xf>
    <xf numFmtId="0" fontId="76" fillId="0" borderId="0" xfId="0" applyFont="1" applyNumberFormat="1">
      <alignment vertical="top"/>
    </xf>
    <xf numFmtId="0" fontId="77" fillId="0" borderId="0" xfId="0" applyFont="1" applyNumberFormat="1">
      <alignment vertical="top"/>
    </xf>
    <xf numFmtId="0" fontId="27" fillId="0" borderId="30" xfId="0" applyFont="1" applyBorder="1" applyNumberFormat="1">
      <alignment horizontal="left" vertical="center" wrapText="1"/>
    </xf>
    <xf numFmtId="0" fontId="44" fillId="0" borderId="28" xfId="0" applyFont="1" applyBorder="1" applyNumberFormat="1">
      <alignment vertical="center" wrapText="1"/>
    </xf>
    <xf numFmtId="0" fontId="48" fillId="0" borderId="23" xfId="0" applyFont="1" applyBorder="1" applyNumberFormat="1">
      <alignment horizontal="left" vertical="center" indent="1"/>
    </xf>
    <xf numFmtId="0" fontId="0" fillId="0" borderId="0" xfId="0" applyFont="1" applyNumberFormat="1">
      <alignment vertical="top"/>
    </xf>
    <xf numFmtId="0" fontId="37" fillId="53" borderId="23" xfId="0" applyFont="1" applyFill="1" applyBorder="1" applyNumberFormat="1">
      <alignment horizontal="left" vertical="center" wrapText="1"/>
    </xf>
    <xf numFmtId="0" fontId="27" fillId="49" borderId="23" xfId="0" applyFont="1" applyFill="1" applyBorder="1" applyNumberFormat="1">
      <alignment vertical="center"/>
    </xf>
    <xf numFmtId="0" fontId="44" fillId="0" borderId="21" xfId="0" applyFont="1" applyBorder="1" applyNumberFormat="1">
      <alignment vertical="center" wrapText="1"/>
    </xf>
    <xf numFmtId="0" fontId="27" fillId="0" borderId="26" xfId="0" applyFont="1" applyBorder="1" applyNumberFormat="1">
      <alignment horizontal="right" vertical="center" wrapText="1" indent="1"/>
    </xf>
    <xf numFmtId="0" fontId="89" fillId="0" borderId="0" xfId="0" applyFont="1" applyNumberFormat="1">
      <alignment vertical="center" wrapText="1"/>
    </xf>
    <xf numFmtId="0" fontId="37" fillId="41" borderId="25" xfId="0" applyFont="1" applyFill="1" applyBorder="1" applyNumberFormat="1">
      <alignment vertical="center" wrapText="1"/>
    </xf>
    <xf numFmtId="0" fontId="27" fillId="0" borderId="23" xfId="0" applyFont="1" applyBorder="1" applyNumberFormat="1">
      <alignment vertical="top" wrapText="1"/>
    </xf>
    <xf numFmtId="0" fontId="27" fillId="39" borderId="0" xfId="0" applyFont="1" applyFill="1" applyNumberFormat="1">
      <alignment horizontal="right" vertical="center" wrapText="1"/>
    </xf>
    <xf numFmtId="0" fontId="27" fillId="39" borderId="0" xfId="0" applyFont="1" applyFill="1" applyNumberFormat="1">
      <alignment horizontal="right" vertical="center"/>
    </xf>
    <xf numFmtId="0" fontId="27" fillId="39" borderId="21" xfId="0" applyFont="1" applyFill="1" applyBorder="1" applyNumberFormat="1">
      <alignment horizontal="center" vertical="center" wrapText="1"/>
    </xf>
    <xf numFmtId="0" fontId="27" fillId="39" borderId="25" xfId="0" applyFont="1" applyFill="1" applyBorder="1" applyNumberFormat="1">
      <alignment horizontal="center" vertical="center" wrapText="1"/>
    </xf>
    <xf numFmtId="0" fontId="27" fillId="39" borderId="27" xfId="0" applyFont="1" applyFill="1" applyBorder="1" applyNumberFormat="1">
      <alignment horizontal="center" vertical="center" wrapText="1"/>
    </xf>
    <xf numFmtId="0" fontId="27" fillId="39" borderId="23" xfId="0" applyFont="1" applyFill="1" applyBorder="1" applyNumberFormat="1">
      <alignment horizontal="center" vertical="center"/>
    </xf>
    <xf numFmtId="0" fontId="23" fillId="0" borderId="23" xfId="0" applyFont="1" applyBorder="1" applyNumberFormat="1">
      <alignment horizontal="left" vertical="top" wrapText="1"/>
    </xf>
    <xf numFmtId="0" fontId="23" fillId="0" borderId="23" xfId="0" applyFont="1" applyBorder="1" applyNumberFormat="1">
      <alignment horizontal="left" vertical="center" wrapText="1"/>
    </xf>
    <xf numFmtId="0" fontId="27" fillId="41" borderId="21" xfId="0" applyFont="1" applyFill="1" applyBorder="1" applyNumberFormat="1">
      <alignment vertical="center" wrapText="1"/>
    </xf>
    <xf numFmtId="0" fontId="44" fillId="0" borderId="25" xfId="0" applyFont="1" applyBorder="1" applyNumberFormat="1">
      <alignment horizontal="right" vertical="center" wrapText="1" indent="1"/>
    </xf>
    <xf numFmtId="0" fontId="44" fillId="0" borderId="20" xfId="0" applyFont="1" applyBorder="1" applyNumberFormat="1">
      <alignment horizontal="right" vertical="center" wrapText="1" indent="1"/>
    </xf>
    <xf numFmtId="0" fontId="44" fillId="0" borderId="21" xfId="0" applyFont="1" applyBorder="1" applyNumberFormat="1">
      <alignment horizontal="left" vertical="top" wrapText="1"/>
    </xf>
    <xf numFmtId="0" fontId="27" fillId="0" borderId="0" xfId="0" applyFont="1" applyNumberFormat="1">
      <alignment horizontal="right" vertical="top" wrapText="1"/>
    </xf>
    <xf numFmtId="0" fontId="27" fillId="0" borderId="0" xfId="0" applyFont="1" applyNumberFormat="1">
      <alignment horizontal="left" vertical="top" wrapText="1"/>
    </xf>
    <xf numFmtId="0" fontId="44" fillId="0" borderId="45" xfId="0" applyFont="1" applyBorder="1" applyNumberFormat="1">
      <alignment vertical="center" wrapText="1"/>
    </xf>
    <xf numFmtId="0" fontId="27" fillId="37" borderId="20" xfId="0" applyFont="1" applyFill="1" applyBorder="1" applyNumberFormat="1">
      <alignment horizontal="left" vertical="top" wrapText="1"/>
    </xf>
    <xf numFmtId="0" fontId="90" fillId="0" borderId="28" xfId="0" applyFont="1" applyBorder="1" applyNumberFormat="1">
      <alignment vertical="center" wrapText="1"/>
    </xf>
    <xf numFmtId="0" fontId="27" fillId="0" borderId="0" xfId="0" applyFont="1" applyNumberFormat="1">
      <alignment vertical="top" wrapText="1"/>
    </xf>
    <xf numFmtId="0" fontId="27" fillId="0" borderId="0" xfId="0" applyFont="1" applyNumberFormat="1">
      <alignment vertical="top"/>
    </xf>
    <xf numFmtId="0" fontId="27" fillId="0" borderId="52" xfId="0" applyFont="1" applyBorder="1" applyNumberFormat="1">
      <alignment horizontal="left" vertical="center" wrapText="1"/>
    </xf>
    <xf numFmtId="0" fontId="27" fillId="0" borderId="54" xfId="0" applyFont="1" applyBorder="1" applyNumberFormat="1">
      <alignment horizontal="left" vertical="center" wrapText="1" indent="1"/>
    </xf>
    <xf numFmtId="0" fontId="27" fillId="0" borderId="54" xfId="0" applyFont="1" applyBorder="1" applyNumberFormat="1">
      <alignment horizontal="left" vertical="center" wrapText="1"/>
    </xf>
    <xf numFmtId="0" fontId="27" fillId="0" borderId="49" xfId="0" applyFont="1" applyBorder="1" applyNumberFormat="1">
      <alignment horizontal="left" vertical="center" wrapText="1" indent="1"/>
    </xf>
    <xf numFmtId="0" fontId="27" fillId="0" borderId="49" xfId="0" applyFont="1" applyBorder="1" applyNumberFormat="1">
      <alignment horizontal="left" vertical="center" wrapText="1"/>
    </xf>
    <xf numFmtId="0" fontId="27" fillId="0" borderId="49" xfId="0" applyFont="1" applyBorder="1" applyNumberFormat="1">
      <alignment horizontal="left" vertical="center" wrapText="1" indent="2"/>
    </xf>
    <xf numFmtId="0" fontId="27" fillId="0" borderId="71" xfId="0" applyFont="1" applyBorder="1" applyNumberFormat="1">
      <alignment horizontal="left" vertical="center" wrapText="1"/>
    </xf>
    <xf numFmtId="49" fontId="42" fillId="38" borderId="23" xfId="430" applyFont="1" applyFill="1" applyBorder="1" applyNumberFormat="1">
      <alignment horizontal="left" vertical="center" wrapText="1"/>
      <protection locked="0"/>
    </xf>
    <xf numFmtId="0" fontId="47" fillId="0" borderId="29" xfId="0" applyFont="1" applyBorder="1" applyNumberFormat="1">
      <alignment horizontal="center" vertical="center" wrapText="1"/>
    </xf>
    <xf numFmtId="0" fontId="23" fillId="0" borderId="21" xfId="0" applyFont="1" applyBorder="1" applyNumberFormat="1">
      <alignment horizontal="center" vertical="center"/>
    </xf>
    <xf numFmtId="0" fontId="27" fillId="37" borderId="21" xfId="0" applyFont="1" applyFill="1" applyBorder="1" applyNumberFormat="1">
      <alignment horizontal="left" vertical="top" wrapText="1" indent="1"/>
    </xf>
    <xf numFmtId="0" fontId="27" fillId="37" borderId="20" xfId="0" applyFont="1" applyFill="1" applyBorder="1" applyNumberFormat="1">
      <alignment horizontal="left" vertical="top" wrapText="1" indent="1"/>
    </xf>
    <xf numFmtId="0" fontId="27" fillId="41" borderId="26" xfId="0" applyFont="1" applyFill="1" applyBorder="1" applyNumberFormat="1">
      <alignment vertical="center" wrapText="1"/>
    </xf>
    <xf numFmtId="0" fontId="27" fillId="0" borderId="20" xfId="0" applyFont="1" applyBorder="1" applyNumberFormat="1">
      <alignment vertical="center" wrapText="1"/>
    </xf>
    <xf numFmtId="0" fontId="27" fillId="41" borderId="45" xfId="0" applyFont="1" applyFill="1" applyBorder="1" applyNumberFormat="1">
      <alignment vertical="center" wrapText="1"/>
    </xf>
    <xf numFmtId="0" fontId="47" fillId="0" borderId="0" xfId="0" applyFont="1" applyNumberFormat="1">
      <alignment horizontal="center" vertical="center" wrapText="1"/>
    </xf>
    <xf numFmtId="0" fontId="87" fillId="0" borderId="0" xfId="0" applyFont="1" applyNumberFormat="1">
      <alignment vertical="center" wrapText="1"/>
    </xf>
    <xf numFmtId="0" fontId="23" fillId="39" borderId="32" xfId="0" applyFont="1" applyFill="1" applyBorder="1" applyNumberFormat="1">
      <alignment horizontal="center" vertical="center" wrapText="1"/>
    </xf>
    <xf numFmtId="0" fontId="23" fillId="0" borderId="23" xfId="0" applyFont="1" applyBorder="1" applyNumberFormat="1">
      <alignment horizontal="left" vertical="center" wrapText="1" indent="1"/>
    </xf>
    <xf numFmtId="0" fontId="27" fillId="41" borderId="34" xfId="0" applyFont="1" applyFill="1" applyBorder="1" applyNumberFormat="1">
      <alignment vertical="center" wrapText="1"/>
    </xf>
    <xf numFmtId="0" fontId="27" fillId="39" borderId="19" xfId="0" applyFont="1" applyFill="1" applyBorder="1" applyNumberFormat="1">
      <alignment vertical="center" wrapText="1"/>
    </xf>
    <xf numFmtId="0" fontId="31" fillId="39" borderId="19" xfId="0" applyFont="1" applyFill="1" applyBorder="1" applyNumberFormat="1">
      <alignment horizontal="center" wrapText="1"/>
    </xf>
    <xf numFmtId="0" fontId="27" fillId="0" borderId="15" xfId="0" applyFont="1" applyBorder="1" applyNumberFormat="1">
      <alignment horizontal="center" vertical="center"/>
    </xf>
    <xf numFmtId="0" fontId="27" fillId="0" borderId="16" xfId="0" applyFont="1" applyBorder="1" applyNumberFormat="1">
      <alignment horizontal="center" vertical="center"/>
    </xf>
    <xf numFmtId="0" fontId="27" fillId="0" borderId="17" xfId="0" applyFont="1" applyBorder="1" applyNumberFormat="1">
      <alignment horizontal="center" vertical="center"/>
    </xf>
    <xf numFmtId="0" fontId="27" fillId="0" borderId="13" xfId="0" applyFont="1" applyBorder="1" applyNumberFormat="1">
      <alignment vertical="center" wrapText="1"/>
    </xf>
    <xf numFmtId="0" fontId="27" fillId="39" borderId="26" xfId="0" applyFont="1" applyFill="1" applyBorder="1" applyNumberFormat="1">
      <alignment vertical="center" wrapText="1"/>
    </xf>
    <xf numFmtId="0" fontId="44" fillId="0" borderId="19" xfId="0" applyFont="1" applyBorder="1" applyNumberFormat="1">
      <alignment vertical="center" wrapText="1"/>
    </xf>
    <xf numFmtId="0" fontId="27" fillId="0" borderId="72" xfId="0" applyFont="1" applyBorder="1" applyNumberFormat="1">
      <alignment horizontal="center" vertical="center"/>
    </xf>
    <xf numFmtId="0" fontId="27" fillId="0" borderId="44" xfId="0" applyFont="1" applyBorder="1" applyNumberFormat="1">
      <alignment horizontal="center" vertical="center"/>
    </xf>
    <xf numFmtId="0" fontId="27" fillId="0" borderId="13" xfId="0" applyFont="1" applyBorder="1" applyNumberFormat="1">
      <alignment vertical="center"/>
    </xf>
    <xf numFmtId="0" fontId="23" fillId="37" borderId="23" xfId="0" applyFont="1" applyFill="1" applyBorder="1" applyNumberFormat="1">
      <alignment horizontal="center" vertical="center" wrapText="1"/>
    </xf>
    <xf numFmtId="0" fontId="27" fillId="0" borderId="28" xfId="0" applyFont="1" applyBorder="1" applyNumberFormat="1">
      <alignment vertical="center" wrapText="1"/>
    </xf>
    <xf numFmtId="0" fontId="27" fillId="0" borderId="27" xfId="0" applyFont="1" applyBorder="1" applyNumberFormat="1">
      <alignment horizontal="left" vertical="top" wrapText="1"/>
    </xf>
    <xf numFmtId="0" fontId="27" fillId="45" borderId="21" xfId="0" applyFont="1" applyFill="1" applyBorder="1" applyNumberFormat="1">
      <alignment horizontal="center" vertical="center" wrapText="1"/>
    </xf>
    <xf numFmtId="0" fontId="27" fillId="45" borderId="25" xfId="0" applyFont="1" applyFill="1" applyBorder="1" applyNumberFormat="1">
      <alignment horizontal="center" vertical="center" wrapText="1"/>
    </xf>
    <xf numFmtId="0" fontId="27" fillId="45" borderId="20" xfId="0" applyFont="1" applyFill="1" applyBorder="1" applyNumberFormat="1">
      <alignment horizontal="center" vertical="center" wrapText="1"/>
    </xf>
    <xf numFmtId="0" fontId="27" fillId="43" borderId="23" xfId="0" applyFont="1" applyFill="1" applyBorder="1" applyNumberFormat="1">
      <alignment horizontal="center" vertical="center" wrapText="1"/>
    </xf>
    <xf numFmtId="0" fontId="27" fillId="43" borderId="21" xfId="0" applyFont="1" applyFill="1" applyBorder="1" applyNumberFormat="1">
      <alignment horizontal="center" vertical="center" wrapText="1"/>
    </xf>
    <xf numFmtId="0" fontId="27" fillId="39" borderId="20" xfId="0" applyFont="1" applyFill="1" applyBorder="1" applyNumberFormat="1">
      <alignment horizontal="center" vertical="center" wrapText="1"/>
    </xf>
    <xf numFmtId="0" fontId="27" fillId="43" borderId="20" xfId="0" applyFont="1" applyFill="1" applyBorder="1" applyNumberFormat="1">
      <alignment horizontal="center" vertical="center" wrapText="1"/>
    </xf>
    <xf numFmtId="0" fontId="47" fillId="0" borderId="23" xfId="0" applyFont="1" applyBorder="1" applyNumberFormat="1">
      <alignment horizontal="center" vertical="center"/>
    </xf>
    <xf numFmtId="0" fontId="27" fillId="0" borderId="32" xfId="0" applyFont="1" applyBorder="1" applyNumberFormat="1">
      <alignment horizontal="right" vertical="center"/>
    </xf>
    <xf numFmtId="0" fontId="27" fillId="0" borderId="32" xfId="0" applyFont="1" applyBorder="1" applyNumberFormat="1">
      <alignment horizontal="center" vertical="center"/>
    </xf>
    <xf numFmtId="0" fontId="27" fillId="0" borderId="23" xfId="0" applyFont="1" applyBorder="1" applyNumberFormat="1">
      <alignment horizontal="right" vertical="center"/>
    </xf>
    <xf numFmtId="0" fontId="37" fillId="0" borderId="23" xfId="0" applyFont="1" applyBorder="1" applyNumberFormat="1">
      <alignment vertical="top" wrapText="1"/>
    </xf>
    <xf numFmtId="0" fontId="23" fillId="0" borderId="23" xfId="0" applyFont="1" applyBorder="1" applyNumberFormat="1">
      <alignment vertical="center" wrapText="1"/>
    </xf>
    <xf numFmtId="0" fontId="23" fillId="38" borderId="23" xfId="0" applyFont="1" applyFill="1" applyBorder="1" applyNumberFormat="1">
      <alignment horizontal="left" vertical="center" wrapText="1" indent="2"/>
      <protection locked="0"/>
    </xf>
    <xf numFmtId="0" fontId="56" fillId="0" borderId="23" xfId="0" applyFont="1" applyBorder="1" applyNumberFormat="1">
      <alignment horizontal="left" vertical="center" wrapText="1" indent="2"/>
    </xf>
    <xf numFmtId="0" fontId="27" fillId="0" borderId="32" xfId="0" applyFont="1" applyBorder="1" applyNumberFormat="1">
      <alignment vertical="top" wrapText="1"/>
    </xf>
    <xf numFmtId="0" fontId="23" fillId="38" borderId="23" xfId="0" applyFont="1" applyFill="1" applyBorder="1" applyNumberFormat="1">
      <alignment horizontal="left" vertical="center" wrapText="1"/>
      <protection locked="0"/>
    </xf>
    <xf numFmtId="0" fontId="23" fillId="0" borderId="23" xfId="0" applyFont="1" applyBorder="1" applyNumberFormat="1">
      <alignment horizontal="left" vertical="center" wrapText="1" indent="2"/>
    </xf>
    <xf numFmtId="0" fontId="27" fillId="0" borderId="25" xfId="0" applyFont="1" applyBorder="1" applyNumberFormat="1">
      <alignment horizontal="left" vertical="top" wrapText="1" indent="1"/>
    </xf>
    <xf numFmtId="0" fontId="23" fillId="39" borderId="21" xfId="0" applyFont="1" applyFill="1" applyBorder="1" applyNumberFormat="1">
      <alignment horizontal="right" vertical="center" wrapText="1" indent="1"/>
    </xf>
    <xf numFmtId="0" fontId="23" fillId="0" borderId="32" xfId="0" applyFont="1" applyBorder="1" applyNumberFormat="1">
      <alignment horizontal="left" vertical="center" wrapText="1"/>
    </xf>
    <xf numFmtId="0" fontId="70" fillId="39" borderId="0" xfId="0" applyFont="1" applyFill="1" applyNumberFormat="1">
      <alignment horizontal="center" vertical="top" wrapText="1"/>
    </xf>
    <xf numFmtId="0" fontId="23" fillId="37" borderId="21" xfId="0" applyFont="1" applyFill="1" applyBorder="1" applyNumberFormat="1">
      <alignment horizontal="left" vertical="center" wrapText="1" indent="1"/>
    </xf>
    <xf numFmtId="0" fontId="70" fillId="39" borderId="29" xfId="0" applyFont="1" applyFill="1" applyBorder="1" applyNumberFormat="1">
      <alignment horizontal="center" vertical="top" wrapText="1"/>
    </xf>
    <xf numFmtId="0" fontId="23" fillId="37" borderId="30" xfId="0" applyFont="1" applyFill="1" applyBorder="1" applyNumberFormat="1">
      <alignment horizontal="left" vertical="center" wrapText="1" indent="1"/>
    </xf>
    <xf numFmtId="0" fontId="27" fillId="0" borderId="26" xfId="0" applyFont="1" applyBorder="1" applyNumberFormat="1">
      <alignment horizontal="left" vertical="top" wrapText="1"/>
    </xf>
    <xf numFmtId="0" fontId="23" fillId="45" borderId="23" xfId="0" applyFont="1" applyFill="1" applyBorder="1" applyNumberFormat="1">
      <alignment horizontal="center" vertical="center"/>
    </xf>
    <xf numFmtId="0" fontId="27" fillId="0" borderId="23" xfId="0" applyFont="1" applyBorder="1" applyNumberFormat="1">
      <alignment vertical="center"/>
    </xf>
    <xf numFmtId="0" fontId="23" fillId="0" borderId="23" xfId="0" applyFont="1" applyBorder="1" applyNumberFormat="1">
      <alignment vertical="center"/>
    </xf>
    <xf numFmtId="0" fontId="23" fillId="0" borderId="21" xfId="0" applyFont="1" applyBorder="1" applyNumberFormat="1">
      <alignment vertical="center"/>
    </xf>
    <xf numFmtId="0" fontId="27" fillId="0" borderId="21" xfId="0" applyFont="1" applyBorder="1" applyNumberFormat="1">
      <alignment horizontal="left" vertical="center"/>
    </xf>
    <xf numFmtId="0" fontId="23" fillId="0" borderId="20" xfId="0" applyFont="1" applyBorder="1" applyNumberFormat="1">
      <alignment vertical="center"/>
    </xf>
    <xf numFmtId="0" fontId="23" fillId="0" borderId="23" xfId="0" applyFont="1" applyBorder="1" applyNumberFormat="1">
      <alignment horizontal="right" vertical="top"/>
    </xf>
    <xf numFmtId="0" fontId="23" fillId="0" borderId="23" xfId="0" applyFont="1" applyBorder="1" applyNumberFormat="1">
      <alignment vertical="top"/>
    </xf>
    <xf numFmtId="0" fontId="27" fillId="0" borderId="20" xfId="0" applyFont="1" applyBorder="1" applyNumberFormat="1">
      <alignment vertical="center"/>
    </xf>
    <xf numFmtId="0" fontId="27" fillId="0" borderId="23" xfId="0" applyFont="1" applyBorder="1" applyNumberFormat="1">
      <alignment vertical="top"/>
    </xf>
    <xf numFmtId="0" fontId="23" fillId="48" borderId="0" xfId="0" applyFont="1" applyFill="1" applyNumberFormat="1">
      <alignment horizontal="right" vertical="center"/>
    </xf>
    <xf numFmtId="0" fontId="23" fillId="48" borderId="0" xfId="0" applyFont="1" applyFill="1" applyNumberFormat="1">
      <alignment horizontal="left" vertical="center"/>
    </xf>
    <xf numFmtId="0" fontId="23" fillId="0" borderId="0" xfId="0" applyFont="1" applyNumberFormat="1">
      <alignment horizontal="right" vertical="top"/>
    </xf>
    <xf numFmtId="0" fontId="67" fillId="48" borderId="0" xfId="0" applyFont="1" applyFill="1" applyNumberFormat="1">
      <alignment horizontal="left" vertical="center"/>
    </xf>
    <xf numFmtId="0" fontId="23" fillId="0" borderId="21" xfId="0" applyFont="1" applyBorder="1" applyNumberFormat="1">
      <alignment horizontal="left" vertical="center"/>
    </xf>
    <xf numFmtId="0" fontId="23" fillId="0" borderId="32" xfId="0" applyFont="1" applyBorder="1" applyNumberFormat="1">
      <alignment vertical="top"/>
    </xf>
    <xf numFmtId="0" fontId="27" fillId="0" borderId="32" xfId="0" applyFont="1" applyBorder="1" applyNumberFormat="1">
      <alignment vertical="center"/>
    </xf>
    <xf numFmtId="0" fontId="27" fillId="48" borderId="0" xfId="0" applyFont="1" applyFill="1" applyNumberFormat="1">
      <alignment horizontal="left" vertical="center"/>
    </xf>
    <xf numFmtId="0" fontId="23" fillId="48" borderId="50" xfId="0" applyFont="1" applyFill="1" applyBorder="1" applyNumberFormat="1">
      <alignment horizontal="center"/>
    </xf>
    <xf numFmtId="0" fontId="23" fillId="0" borderId="50" xfId="0" applyFont="1" applyBorder="1" applyNumberFormat="1">
      <alignment horizontal="center"/>
    </xf>
    <xf numFmtId="0" fontId="23" fillId="37" borderId="49" xfId="0" applyFont="1" applyFill="1" applyBorder="1" applyNumberFormat="1">
      <alignment horizontal="center" vertical="center"/>
    </xf>
    <xf numFmtId="0" fontId="20" fillId="0" borderId="51" xfId="0" applyFont="1" applyBorder="1" applyNumberFormat="1">
      <alignment horizontal="center" vertical="center"/>
    </xf>
    <xf numFmtId="0" fontId="23" fillId="0" borderId="51" xfId="0" applyFont="1" applyBorder="1" applyNumberFormat="1">
      <alignment horizontal="center" vertical="center"/>
    </xf>
    <xf numFmtId="0" fontId="23" fillId="43" borderId="23" xfId="0" applyFont="1" applyFill="1" applyBorder="1" applyNumberFormat="1">
      <alignment horizontal="right" vertical="center"/>
    </xf>
    <xf numFmtId="0" fontId="27" fillId="37" borderId="35" xfId="0" applyFont="1" applyFill="1" applyBorder="1" applyNumberFormat="1">
      <alignment horizontal="center" vertical="top"/>
    </xf>
    <xf numFmtId="0" fontId="27" fillId="37" borderId="35" xfId="0" applyFont="1" applyFill="1" applyBorder="1" applyNumberFormat="1">
      <alignment horizontal="left" vertical="top"/>
    </xf>
    <xf numFmtId="0" fontId="23" fillId="0" borderId="52" xfId="0" applyFont="1" applyBorder="1" applyNumberFormat="1">
      <alignment horizontal="center" vertical="center"/>
    </xf>
    <xf numFmtId="0" fontId="23" fillId="0" borderId="53" xfId="0" applyFont="1" applyBorder="1" applyNumberFormat="1">
      <alignment horizontal="center" vertical="center"/>
    </xf>
    <xf numFmtId="0" fontId="27" fillId="0" borderId="23" xfId="0" applyFont="1" applyBorder="1" applyNumberFormat="1">
      <alignment horizontal="left" vertical="top"/>
    </xf>
    <xf numFmtId="0" fontId="23" fillId="0" borderId="54" xfId="0" applyFont="1" applyBorder="1" applyNumberFormat="1">
      <alignment horizontal="center" vertical="center"/>
    </xf>
    <xf numFmtId="0" fontId="23" fillId="48" borderId="0" xfId="0" applyFont="1" applyFill="1" applyNumberFormat="1">
      <alignment horizontal="right" vertical="top" wrapText="1"/>
    </xf>
    <xf numFmtId="0" fontId="37" fillId="39" borderId="0" xfId="0" applyFont="1" applyFill="1" applyNumberFormat="1"/>
    <xf numFmtId="0" fontId="94" fillId="39" borderId="0" xfId="0" applyFont="1" applyFill="1" applyNumberFormat="1"/>
    <xf numFmtId="0" fontId="44" fillId="39" borderId="0" xfId="0" applyFont="1" applyFill="1" applyNumberFormat="1">
      <alignment horizontal="center" vertical="center" wrapText="1"/>
    </xf>
    <xf numFmtId="0" fontId="23" fillId="39" borderId="32" xfId="0" applyFont="1" applyFill="1" applyBorder="1" applyNumberFormat="1">
      <alignment horizontal="left" vertical="top" wrapText="1"/>
    </xf>
    <xf numFmtId="0" fontId="55" fillId="39" borderId="0" xfId="0" applyFont="1" applyFill="1" applyNumberFormat="1">
      <alignment vertical="center" wrapText="1"/>
    </xf>
    <xf numFmtId="0" fontId="44" fillId="39" borderId="23" xfId="0" applyFont="1" applyFill="1" applyBorder="1" applyNumberFormat="1">
      <alignment horizontal="center" vertical="center"/>
    </xf>
    <xf numFmtId="0" fontId="23" fillId="39" borderId="42" xfId="0" applyFont="1" applyFill="1" applyBorder="1" applyNumberFormat="1">
      <alignment horizontal="left" vertical="top" wrapText="1"/>
    </xf>
    <xf numFmtId="0" fontId="56" fillId="39" borderId="0" xfId="0" applyFont="1" applyFill="1" applyNumberFormat="1"/>
    <xf numFmtId="0" fontId="23" fillId="39" borderId="30" xfId="0" applyFont="1" applyFill="1" applyBorder="1" applyNumberFormat="1">
      <alignment horizontal="left" vertical="top" wrapText="1"/>
    </xf>
    <xf numFmtId="0" fontId="89" fillId="39" borderId="0" xfId="0" applyFont="1" applyFill="1" applyNumberFormat="1"/>
    <xf numFmtId="0" fontId="27" fillId="39" borderId="23" xfId="0" applyFont="1" applyFill="1" applyBorder="1" applyNumberFormat="1">
      <alignment horizontal="left" vertical="top" wrapText="1"/>
    </xf>
    <xf numFmtId="0" fontId="27" fillId="39" borderId="23" xfId="0" applyFont="1" applyFill="1" applyBorder="1" applyNumberFormat="1">
      <alignment vertical="top" wrapText="1"/>
    </xf>
    <xf numFmtId="0" fontId="37" fillId="0" borderId="42" xfId="0" applyFont="1" applyBorder="1" applyNumberFormat="1">
      <alignment horizontal="left" vertical="center" wrapText="1" indent="1"/>
    </xf>
    <xf numFmtId="0" fontId="95" fillId="0" borderId="0" xfId="0" applyFont="1" applyNumberFormat="1">
      <alignment vertical="center"/>
    </xf>
    <xf numFmtId="0" fontId="27" fillId="37" borderId="30" xfId="0" applyFont="1" applyFill="1" applyBorder="1" applyNumberFormat="1">
      <alignment horizontal="left" vertical="center" wrapText="1" indent="1"/>
    </xf>
    <xf numFmtId="0" fontId="27" fillId="0" borderId="34" xfId="0" applyFont="1" applyBorder="1" applyNumberFormat="1">
      <alignment horizontal="left" vertical="top" wrapText="1"/>
    </xf>
    <xf numFmtId="0" fontId="27" fillId="39" borderId="42" xfId="0" applyFont="1" applyFill="1" applyBorder="1" applyNumberFormat="1">
      <alignment vertical="center" wrapText="1"/>
    </xf>
    <xf numFmtId="0" fontId="44" fillId="0" borderId="45" xfId="0" applyFont="1" applyBorder="1" applyNumberFormat="1">
      <alignment horizontal="center" vertical="center" wrapText="1"/>
    </xf>
    <xf numFmtId="0" fontId="27" fillId="39" borderId="28" xfId="0" applyFont="1" applyFill="1" applyBorder="1" applyNumberFormat="1">
      <alignment vertical="center" wrapText="1"/>
    </xf>
    <xf numFmtId="0" fontId="27" fillId="0" borderId="25" xfId="0" applyFont="1" applyBorder="1" applyNumberFormat="1">
      <alignment horizontal="left" vertical="center" wrapText="1"/>
    </xf>
    <xf numFmtId="0" fontId="46" fillId="0" borderId="0" xfId="0" applyFont="1" applyNumberFormat="1">
      <alignment horizontal="center" vertical="center" wrapText="1"/>
    </xf>
    <xf numFmtId="0" fontId="27" fillId="37" borderId="34" xfId="0" applyFont="1" applyFill="1" applyBorder="1" applyNumberFormat="1">
      <alignment horizontal="left" vertical="center" wrapText="1"/>
    </xf>
    <xf numFmtId="0" fontId="93" fillId="39" borderId="0" xfId="0" applyFont="1" applyFill="1" applyNumberFormat="1">
      <alignment horizontal="center" vertical="center" wrapText="1"/>
    </xf>
    <xf numFmtId="0" fontId="28" fillId="39" borderId="0" xfId="0" applyFont="1" applyFill="1" applyNumberFormat="1"/>
    <xf numFmtId="0" fontId="27" fillId="0" borderId="0" xfId="0" applyFont="1" applyNumberFormat="1"/>
    <xf numFmtId="0" fontId="50" fillId="39" borderId="0" xfId="0" applyFont="1" applyFill="1" applyNumberFormat="1">
      <alignment horizontal="center" vertical="center"/>
    </xf>
    <xf numFmtId="0" fontId="27" fillId="39" borderId="32" xfId="0" applyFont="1" applyFill="1" applyBorder="1" applyNumberFormat="1">
      <alignment horizontal="center" vertical="center"/>
    </xf>
    <xf numFmtId="0" fontId="50" fillId="0" borderId="0" xfId="0" applyFont="1" applyNumberFormat="1">
      <alignment horizontal="center" vertical="center"/>
    </xf>
    <xf numFmtId="0" fontId="50" fillId="39" borderId="0" xfId="0" applyFont="1" applyFill="1" applyNumberFormat="1">
      <alignment horizontal="center"/>
    </xf>
    <xf numFmtId="0" fontId="47" fillId="0" borderId="0" xfId="0" applyFont="1" applyNumberFormat="1">
      <alignment vertical="top" wrapText="1"/>
    </xf>
    <xf numFmtId="0" fontId="53" fillId="0" borderId="23" xfId="0" applyFont="1" applyBorder="1" applyNumberFormat="1">
      <alignment horizontal="left" vertical="center" wrapText="1" indent="1"/>
    </xf>
    <xf numFmtId="0" fontId="54" fillId="0" borderId="32" xfId="0" applyFont="1" applyBorder="1" applyNumberFormat="1">
      <alignment horizontal="center" vertical="center" wrapText="1"/>
    </xf>
    <xf numFmtId="0" fontId="53" fillId="0" borderId="23" xfId="0" applyFont="1" applyBorder="1" applyNumberFormat="1">
      <alignment horizontal="left" vertical="top" indent="1"/>
    </xf>
    <xf numFmtId="0" fontId="27" fillId="39" borderId="0" xfId="0" applyFont="1" applyFill="1" applyNumberFormat="1">
      <alignment horizontal="center" vertical="top" wrapText="1"/>
    </xf>
    <xf numFmtId="0" fontId="44" fillId="39" borderId="23" xfId="0" applyFont="1" applyFill="1" applyBorder="1" applyNumberFormat="1">
      <alignment horizontal="center" vertical="center" wrapText="1"/>
    </xf>
    <xf numFmtId="0" fontId="23" fillId="38" borderId="21" xfId="0" applyFont="1" applyFill="1" applyBorder="1" applyNumberFormat="1">
      <alignment horizontal="left" vertical="center" wrapText="1" indent="2"/>
      <protection locked="0"/>
    </xf>
    <xf numFmtId="0" fontId="50" fillId="0" borderId="29" xfId="0" applyFont="1" applyBorder="1" applyNumberFormat="1">
      <alignment horizontal="center" vertical="center" wrapText="1"/>
    </xf>
    <xf numFmtId="0" fontId="23" fillId="37" borderId="23" xfId="0" applyFont="1" applyFill="1" applyBorder="1" applyNumberFormat="1">
      <alignment horizontal="left" vertical="top" wrapText="1" indent="1"/>
    </xf>
    <xf numFmtId="0" fontId="27" fillId="37" borderId="23" xfId="0" applyFont="1" applyFill="1" applyBorder="1" applyNumberFormat="1">
      <alignment horizontal="center" vertical="top" wrapText="1"/>
    </xf>
    <xf numFmtId="0" fontId="27" fillId="35" borderId="23" xfId="0" applyFont="1" applyFill="1" applyBorder="1" applyNumberFormat="1">
      <alignment horizontal="left" vertical="top" wrapText="1"/>
      <protection locked="0"/>
    </xf>
    <xf numFmtId="0" fontId="27" fillId="0" borderId="29" xfId="0" applyFont="1" applyBorder="1" applyNumberFormat="1">
      <alignment vertical="top" wrapText="1"/>
    </xf>
    <xf numFmtId="0" fontId="23" fillId="37" borderId="42" xfId="0" applyFont="1" applyFill="1" applyBorder="1" applyNumberFormat="1">
      <alignment horizontal="left" vertical="top" wrapText="1" indent="1"/>
    </xf>
    <xf numFmtId="0" fontId="27" fillId="37" borderId="42" xfId="0" applyFont="1" applyFill="1" applyBorder="1" applyNumberFormat="1">
      <alignment horizontal="center" vertical="top" wrapText="1"/>
    </xf>
    <xf numFmtId="0" fontId="27" fillId="35" borderId="42" xfId="0" applyFont="1" applyFill="1" applyBorder="1" applyNumberFormat="1">
      <alignment horizontal="left" vertical="top" wrapText="1"/>
      <protection locked="0"/>
    </xf>
    <xf numFmtId="0" fontId="71" fillId="0" borderId="55" xfId="0" applyFont="1" applyBorder="1" applyNumberFormat="1">
      <alignment horizontal="left" vertical="center" indent="1"/>
    </xf>
    <xf numFmtId="0" fontId="71" fillId="0" borderId="56" xfId="0" applyFont="1" applyBorder="1" applyNumberFormat="1">
      <alignment horizontal="left" vertical="center" indent="1"/>
    </xf>
    <xf numFmtId="0" fontId="23" fillId="0" borderId="56" xfId="0" applyFont="1" applyBorder="1" applyNumberFormat="1">
      <alignment horizontal="left" vertical="center" wrapText="1"/>
    </xf>
    <xf numFmtId="0" fontId="27" fillId="0" borderId="56" xfId="0" applyFont="1" applyBorder="1" applyNumberFormat="1">
      <alignment vertical="center" wrapText="1"/>
    </xf>
    <xf numFmtId="0" fontId="27" fillId="0" borderId="57" xfId="0" applyFont="1" applyBorder="1" applyNumberFormat="1">
      <alignment vertical="center" wrapText="1"/>
    </xf>
    <xf numFmtId="0" fontId="27" fillId="0" borderId="58" xfId="0" applyFont="1" applyBorder="1" applyNumberFormat="1">
      <alignment vertical="center" wrapText="1"/>
    </xf>
    <xf numFmtId="0" fontId="72" fillId="0" borderId="23" xfId="0" applyFont="1" applyBorder="1" applyNumberFormat="1">
      <alignment horizontal="center" vertical="center"/>
    </xf>
    <xf numFmtId="0" fontId="72" fillId="0" borderId="23" xfId="0" applyFont="1" applyBorder="1" applyNumberFormat="1">
      <alignment horizontal="left" vertical="center" wrapText="1" indent="1"/>
    </xf>
    <xf numFmtId="0" fontId="23" fillId="41" borderId="61" xfId="0" applyFont="1" applyFill="1" applyBorder="1" applyNumberFormat="1">
      <alignment horizontal="left" vertical="center"/>
    </xf>
    <xf numFmtId="0" fontId="27" fillId="41" borderId="61" xfId="0" applyFont="1" applyFill="1" applyBorder="1" applyNumberFormat="1">
      <alignment vertical="center" wrapText="1"/>
    </xf>
    <xf numFmtId="0" fontId="27" fillId="41" borderId="62" xfId="0" applyFont="1" applyFill="1" applyBorder="1" applyNumberFormat="1">
      <alignment vertical="center" wrapText="1"/>
    </xf>
    <xf numFmtId="0" fontId="49" fillId="0" borderId="23" xfId="0" applyFont="1" applyBorder="1" applyNumberFormat="1">
      <alignment horizontal="center" vertical="center"/>
    </xf>
    <xf numFmtId="0" fontId="49" fillId="40" borderId="23" xfId="0" applyFont="1" applyFill="1" applyBorder="1" applyNumberFormat="1">
      <alignment horizontal="left" vertical="center" wrapText="1" indent="1"/>
    </xf>
    <xf numFmtId="0" fontId="49" fillId="0" borderId="20" xfId="0" applyFont="1" applyBorder="1" applyNumberFormat="1">
      <alignment horizontal="center" vertical="center"/>
    </xf>
    <xf numFmtId="0" fontId="71" fillId="0" borderId="63" xfId="0" applyFont="1" applyBorder="1" applyNumberFormat="1">
      <alignment horizontal="left" vertical="center" indent="1"/>
    </xf>
    <xf numFmtId="0" fontId="27" fillId="0" borderId="64" xfId="0" applyFont="1" applyBorder="1" applyNumberFormat="1">
      <alignment horizontal="right" vertical="center"/>
    </xf>
    <xf numFmtId="0" fontId="27" fillId="0" borderId="64" xfId="0" applyFont="1" applyBorder="1" applyNumberFormat="1">
      <alignment horizontal="center" vertical="center"/>
    </xf>
    <xf numFmtId="0" fontId="27" fillId="0" borderId="25" xfId="0" applyFont="1" applyBorder="1" applyNumberFormat="1">
      <alignment horizontal="right" vertical="center"/>
    </xf>
    <xf numFmtId="0" fontId="27" fillId="0" borderId="20" xfId="0" applyFont="1" applyBorder="1" applyNumberFormat="1">
      <alignment horizontal="right" vertical="center"/>
    </xf>
    <xf numFmtId="0" fontId="27" fillId="43" borderId="23" xfId="0" applyFont="1" applyFill="1" applyBorder="1" applyNumberFormat="1">
      <alignment horizontal="right" vertical="center"/>
    </xf>
    <xf numFmtId="0" fontId="44" fillId="0" borderId="30" xfId="0" applyFont="1" applyBorder="1" applyNumberFormat="1">
      <alignment vertical="center" wrapText="1"/>
    </xf>
    <xf numFmtId="0" fontId="44" fillId="0" borderId="23" xfId="0" applyFont="1" applyBorder="1" applyNumberFormat="1">
      <alignment horizontal="left" vertical="center" indent="1"/>
    </xf>
    <xf numFmtId="0" fontId="27" fillId="40" borderId="23" xfId="0" applyFont="1" applyFill="1" applyBorder="1" applyNumberFormat="1">
      <alignment horizontal="left" vertical="top" wrapText="1"/>
    </xf>
    <xf numFmtId="0" fontId="23" fillId="40" borderId="23" xfId="0" applyFont="1" applyFill="1" applyBorder="1" applyNumberFormat="1">
      <alignment horizontal="left" vertical="center" wrapText="1"/>
    </xf>
    <xf numFmtId="0" fontId="48" fillId="41" borderId="21" xfId="0" applyFont="1" applyFill="1" applyBorder="1" applyNumberFormat="1">
      <alignment horizontal="left" vertical="center"/>
    </xf>
    <xf numFmtId="0" fontId="48" fillId="41" borderId="25" xfId="0" applyFont="1" applyFill="1" applyBorder="1" applyNumberFormat="1">
      <alignment horizontal="left" vertical="center"/>
    </xf>
    <xf numFmtId="0" fontId="48" fillId="41" borderId="20" xfId="0" applyFont="1" applyFill="1" applyBorder="1" applyNumberFormat="1">
      <alignment horizontal="left" vertical="center"/>
    </xf>
    <xf numFmtId="0" fontId="23" fillId="41" borderId="25" xfId="0" applyFont="1" applyFill="1" applyBorder="1" applyNumberFormat="1">
      <alignment vertical="center"/>
    </xf>
    <xf numFmtId="0" fontId="48" fillId="0" borderId="42" xfId="0" applyFont="1" applyBorder="1" applyNumberFormat="1">
      <alignment horizontal="left" vertical="center"/>
    </xf>
    <xf numFmtId="0" fontId="48" fillId="35" borderId="42" xfId="0" applyFont="1" applyFill="1" applyBorder="1" applyNumberFormat="1">
      <alignment horizontal="left" vertical="center"/>
      <protection locked="0"/>
    </xf>
    <xf numFmtId="0" fontId="48" fillId="38" borderId="42" xfId="0" applyFont="1" applyFill="1" applyBorder="1" applyNumberFormat="1">
      <alignment horizontal="left" vertical="center"/>
      <protection locked="0"/>
    </xf>
    <xf numFmtId="0" fontId="44" fillId="0" borderId="21" xfId="0" applyFont="1" applyBorder="1" applyNumberFormat="1">
      <alignment horizontal="left" vertical="center"/>
    </xf>
    <xf numFmtId="0" fontId="44" fillId="0" borderId="25" xfId="0" applyFont="1" applyBorder="1" applyNumberFormat="1">
      <alignment horizontal="left" vertical="center"/>
    </xf>
    <xf numFmtId="0" fontId="48" fillId="41" borderId="34" xfId="0" applyFont="1" applyFill="1" applyBorder="1" applyNumberFormat="1">
      <alignment horizontal="left" vertical="center"/>
    </xf>
    <xf numFmtId="0" fontId="27" fillId="0" borderId="29" xfId="0" applyFont="1" applyBorder="1" applyNumberFormat="1">
      <alignment horizontal="center" vertical="center"/>
    </xf>
    <xf numFmtId="0" fontId="27" fillId="40" borderId="32" xfId="0" applyFont="1" applyFill="1" applyBorder="1" applyNumberFormat="1">
      <alignment horizontal="left" vertical="center" wrapText="1"/>
    </xf>
    <xf numFmtId="0" fontId="27" fillId="0" borderId="42" xfId="0" applyFont="1" applyBorder="1" applyNumberFormat="1">
      <alignment horizontal="left" vertical="center" wrapText="1"/>
    </xf>
    <xf numFmtId="0" fontId="27" fillId="40" borderId="42" xfId="0" applyFont="1" applyFill="1" applyBorder="1" applyNumberFormat="1">
      <alignment horizontal="left" vertical="center" wrapText="1"/>
    </xf>
    <xf numFmtId="0" fontId="48" fillId="0" borderId="30" xfId="0" applyFont="1" applyBorder="1" applyNumberFormat="1">
      <alignment horizontal="left" vertical="center"/>
    </xf>
    <xf numFmtId="0" fontId="48" fillId="41" borderId="33" xfId="0" applyFont="1" applyFill="1" applyBorder="1" applyNumberFormat="1">
      <alignment horizontal="left" vertical="center"/>
    </xf>
    <xf numFmtId="0" fontId="48" fillId="41" borderId="26" xfId="0" applyFont="1" applyFill="1" applyBorder="1" applyNumberFormat="1">
      <alignment horizontal="left" vertical="center"/>
    </xf>
    <xf numFmtId="0" fontId="48" fillId="41" borderId="27" xfId="0" applyFont="1" applyFill="1" applyBorder="1" applyNumberFormat="1">
      <alignment horizontal="left" vertical="center"/>
    </xf>
    <xf numFmtId="0" fontId="48" fillId="41" borderId="33" xfId="0" applyFont="1" applyFill="1" applyBorder="1" applyNumberFormat="1">
      <alignment vertical="center"/>
    </xf>
    <xf numFmtId="0" fontId="33" fillId="0" borderId="23" xfId="0" applyFont="1" applyBorder="1" applyNumberFormat="1">
      <alignment vertical="top" wrapText="1"/>
    </xf>
    <xf numFmtId="0" fontId="66" fillId="0" borderId="23" xfId="0" applyFont="1" applyBorder="1" applyNumberFormat="1">
      <alignment vertical="top" wrapText="1"/>
    </xf>
    <xf numFmtId="0" fontId="33" fillId="43" borderId="23" xfId="0" applyFont="1" applyFill="1" applyBorder="1" applyNumberFormat="1">
      <alignment horizontal="center" vertical="top" wrapText="1"/>
    </xf>
    <xf numFmtId="0" fontId="66" fillId="43" borderId="23" xfId="0" applyFont="1" applyFill="1" applyBorder="1" applyNumberFormat="1">
      <alignment horizontal="right" vertical="center" wrapText="1"/>
    </xf>
    <xf numFmtId="0" fontId="66" fillId="0" borderId="23" xfId="0" applyFont="1" applyBorder="1" applyNumberFormat="1">
      <alignment horizontal="left" vertical="top" wrapText="1"/>
    </xf>
    <xf numFmtId="0" fontId="66" fillId="43" borderId="23" xfId="0" applyFont="1" applyFill="1" applyBorder="1" applyNumberFormat="1">
      <alignment horizontal="center" vertical="center" wrapText="1"/>
    </xf>
    <xf numFmtId="0" fontId="66" fillId="0" borderId="32" xfId="0" applyFont="1" applyBorder="1" applyNumberFormat="1">
      <alignment horizontal="left" vertical="top" wrapText="1"/>
    </xf>
    <xf numFmtId="0" fontId="66" fillId="0" borderId="20" xfId="0" applyFont="1" applyBorder="1" applyNumberFormat="1">
      <alignment horizontal="left" vertical="top" wrapText="1"/>
    </xf>
    <xf numFmtId="0" fontId="66" fillId="0" borderId="32" xfId="0" applyFont="1" applyBorder="1" applyNumberFormat="1">
      <alignment vertical="top" wrapText="1"/>
    </xf>
    <xf numFmtId="0" fontId="33" fillId="0" borderId="21" xfId="0" applyFont="1" applyBorder="1" applyNumberFormat="1">
      <alignment horizontal="center" vertical="center" wrapText="1"/>
    </xf>
    <xf numFmtId="0" fontId="33" fillId="0" borderId="21" xfId="0" applyFont="1" applyBorder="1" applyNumberFormat="1">
      <alignment horizontal="center" vertical="center"/>
    </xf>
    <xf numFmtId="0" fontId="33" fillId="0" borderId="23" xfId="0" applyFont="1" applyBorder="1" applyNumberFormat="1">
      <alignment vertical="center" wrapText="1"/>
    </xf>
    <xf numFmtId="0" fontId="33" fillId="0" borderId="23" xfId="0" applyFont="1" applyBorder="1" applyNumberFormat="1">
      <alignment horizontal="center" vertical="center" wrapText="1"/>
    </xf>
    <xf numFmtId="0" fontId="33" fillId="0" borderId="32" xfId="0" applyFont="1" applyBorder="1" applyNumberFormat="1">
      <alignment vertical="center" wrapText="1"/>
    </xf>
    <xf numFmtId="0" fontId="33" fillId="0" borderId="30" xfId="0" applyFont="1" applyBorder="1" applyNumberFormat="1">
      <alignment vertical="center" wrapText="1"/>
    </xf>
    <xf numFmtId="0" fontId="33" fillId="0" borderId="32" xfId="0" applyFont="1" applyBorder="1" applyNumberFormat="1">
      <alignment horizontal="center" vertical="center" wrapText="1"/>
    </xf>
    <xf numFmtId="0" fontId="66" fillId="0" borderId="42" xfId="0" applyFont="1" applyBorder="1" applyNumberFormat="1">
      <alignment horizontal="left" vertical="top" wrapText="1"/>
    </xf>
    <xf numFmtId="0" fontId="21" fillId="0" borderId="26" xfId="0" applyFont="1" applyBorder="1" applyNumberFormat="1">
      <alignment horizontal="left" vertical="center" wrapText="1" indent="1"/>
    </xf>
    <xf numFmtId="0" fontId="21" fillId="0" borderId="45" xfId="0" applyFont="1" applyBorder="1" applyNumberFormat="1">
      <alignment horizontal="left" vertical="center" wrapText="1" indent="1"/>
    </xf>
    <xf numFmtId="0" fontId="23" fillId="0" borderId="0" xfId="0" applyFont="1" applyNumberFormat="1"/>
    <xf numFmtId="0" fontId="23" fillId="0" borderId="24" xfId="0" applyFont="1" applyBorder="1" applyNumberFormat="1">
      <alignment vertical="top" wrapText="1"/>
    </xf>
    <xf numFmtId="0" fontId="21" fillId="0" borderId="74" xfId="0" applyFont="1" applyBorder="1" applyNumberFormat="1">
      <alignment vertical="top" wrapText="1"/>
    </xf>
    <xf numFmtId="0" fontId="23" fillId="0" borderId="23" xfId="0" applyFont="1" applyBorder="1" applyNumberFormat="1">
      <alignment vertical="top" wrapText="1"/>
    </xf>
    <xf numFmtId="0" fontId="31" fillId="0" borderId="24" xfId="0" applyFont="1" applyBorder="1" applyNumberFormat="1">
      <alignment vertical="center" wrapText="1"/>
    </xf>
    <xf numFmtId="0" fontId="21" fillId="0" borderId="0" xfId="0" applyFont="1" applyNumberFormat="1">
      <alignment vertical="top" wrapText="1"/>
    </xf>
    <xf numFmtId="0" fontId="27" fillId="0" borderId="24" xfId="0" applyFont="1" applyBorder="1" applyNumberFormat="1">
      <alignment vertical="center" wrapText="1"/>
    </xf>
  </cellXfs>
  <cellStyles count="129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s1" xfId="47"/>
    <cellStyle name="s2" xfId="48"/>
    <cellStyle name="s3" xfId="49"/>
    <cellStyle name="s4" xfId="50"/>
    <cellStyle name="s5" xfId="51"/>
    <cellStyle name="s6" xfId="52"/>
    <cellStyle name="s7" xfId="53"/>
    <cellStyle name="s8" xfId="54"/>
    <cellStyle name="s9" xfId="55"/>
    <cellStyle name="s10" xfId="56"/>
    <cellStyle name="s11" xfId="57"/>
    <cellStyle name="s12" xfId="58"/>
    <cellStyle name="s13" xfId="59"/>
    <cellStyle name="s14" xfId="60"/>
    <cellStyle name="s15" xfId="61"/>
    <cellStyle name="s16" xfId="62"/>
    <cellStyle name="s17" xfId="63"/>
    <cellStyle name="s18" xfId="64"/>
    <cellStyle name="s19" xfId="65"/>
    <cellStyle name="s20" xfId="66"/>
    <cellStyle name="s21" xfId="67"/>
    <cellStyle name="s22" xfId="68"/>
    <cellStyle name="s23" xfId="69"/>
    <cellStyle name="s24" xfId="70"/>
    <cellStyle name="s25" xfId="71"/>
    <cellStyle name="s26" xfId="72"/>
    <cellStyle name="s27" xfId="73"/>
    <cellStyle name="s28" xfId="74"/>
    <cellStyle name="s29" xfId="75"/>
    <cellStyle name="s30" xfId="76"/>
    <cellStyle name="s31" xfId="77"/>
    <cellStyle name="s32" xfId="78"/>
    <cellStyle name="s33" xfId="79"/>
    <cellStyle name="s34" xfId="80"/>
    <cellStyle name="s35" xfId="81"/>
    <cellStyle name="s36" xfId="82"/>
    <cellStyle name="s37" xfId="83"/>
    <cellStyle name="s38" xfId="84"/>
    <cellStyle name="s39" xfId="85"/>
    <cellStyle name="s40" xfId="86"/>
    <cellStyle name="s41" xfId="87"/>
    <cellStyle name="s42" xfId="88"/>
    <cellStyle name="s43" xfId="89"/>
    <cellStyle name="s44" xfId="90"/>
    <cellStyle name="s45" xfId="91"/>
    <cellStyle name="s46" xfId="92"/>
    <cellStyle name="s47" xfId="93"/>
    <cellStyle name="s48" xfId="94"/>
    <cellStyle name="s49" xfId="95"/>
    <cellStyle name="s50" xfId="96"/>
    <cellStyle name="s51" xfId="97"/>
    <cellStyle name="s52" xfId="98"/>
    <cellStyle name="s53" xfId="99"/>
    <cellStyle name="s54" xfId="100"/>
    <cellStyle name="s55" xfId="101"/>
    <cellStyle name="s56" xfId="102"/>
    <cellStyle name="s57" xfId="103"/>
    <cellStyle name="s58" xfId="104"/>
    <cellStyle name="s59" xfId="105"/>
    <cellStyle name="s60" xfId="106"/>
    <cellStyle name="s61" xfId="107"/>
    <cellStyle name="s62" xfId="108"/>
    <cellStyle name="s63" xfId="109"/>
    <cellStyle name="s64" xfId="110"/>
    <cellStyle name="s65" xfId="111"/>
    <cellStyle name="s66" xfId="112"/>
    <cellStyle name="s67" xfId="113"/>
    <cellStyle name="s68" xfId="114"/>
    <cellStyle name="s69" xfId="115"/>
    <cellStyle name="s70" xfId="116"/>
    <cellStyle name="s71" xfId="117"/>
    <cellStyle name="s72" xfId="118"/>
    <cellStyle name="s73" xfId="119"/>
    <cellStyle name="s74" xfId="120"/>
    <cellStyle name="s75" xfId="121"/>
    <cellStyle name="s76" xfId="122"/>
    <cellStyle name="s77" xfId="123"/>
    <cellStyle name="s78" xfId="124"/>
    <cellStyle name="s79" xfId="125"/>
    <cellStyle name="s80" xfId="126"/>
    <cellStyle name="s81" xfId="127"/>
    <cellStyle name="s82" xfId="128"/>
    <cellStyle name="s83" xfId="129"/>
    <cellStyle name="s84" xfId="130"/>
    <cellStyle name="s85" xfId="131"/>
    <cellStyle name="s86" xfId="132"/>
    <cellStyle name="s87" xfId="133"/>
    <cellStyle name="s88" xfId="134"/>
    <cellStyle name="s89" xfId="135"/>
    <cellStyle name="s90" xfId="136"/>
    <cellStyle name="s91" xfId="137"/>
    <cellStyle name="s92" xfId="138"/>
    <cellStyle name="s93" xfId="139"/>
    <cellStyle name="s94" xfId="140"/>
    <cellStyle name="s95" xfId="141"/>
    <cellStyle name="s96" xfId="142"/>
    <cellStyle name="s97" xfId="143"/>
    <cellStyle name="s98" xfId="144"/>
    <cellStyle name="s99" xfId="145"/>
    <cellStyle name="s100" xfId="146"/>
    <cellStyle name="s101" xfId="147"/>
    <cellStyle name="s102" xfId="148"/>
    <cellStyle name="s103" xfId="149"/>
    <cellStyle name="s104" xfId="150"/>
    <cellStyle name="s105" xfId="151"/>
    <cellStyle name="s106" xfId="152"/>
    <cellStyle name="s107" xfId="153"/>
    <cellStyle name="s108" xfId="154"/>
    <cellStyle name="s109" xfId="155"/>
    <cellStyle name="s110" xfId="156"/>
    <cellStyle name="s111" xfId="157"/>
    <cellStyle name="s112" xfId="158"/>
    <cellStyle name="s113" xfId="159"/>
    <cellStyle name="s114" xfId="160"/>
    <cellStyle name="s115" xfId="161"/>
    <cellStyle name="s116" xfId="162"/>
    <cellStyle name="s117" xfId="163"/>
    <cellStyle name="s118" xfId="164"/>
    <cellStyle name="s119" xfId="165"/>
    <cellStyle name="s120" xfId="166"/>
    <cellStyle name="s121" xfId="167"/>
    <cellStyle name="s122" xfId="168"/>
    <cellStyle name="s123" xfId="169"/>
    <cellStyle name="s124" xfId="170"/>
    <cellStyle name="s125" xfId="171"/>
    <cellStyle name="s126" xfId="172"/>
    <cellStyle name="s127" xfId="173"/>
    <cellStyle name="s128" xfId="174"/>
    <cellStyle name="s129" xfId="175"/>
    <cellStyle name="s130" xfId="176"/>
    <cellStyle name="s131" xfId="177"/>
    <cellStyle name="s132" xfId="178"/>
    <cellStyle name="s133" xfId="179"/>
    <cellStyle name="s134" xfId="180"/>
    <cellStyle name="s135" xfId="181"/>
    <cellStyle name="s136" xfId="182"/>
    <cellStyle name="s137" xfId="183"/>
    <cellStyle name="s138" xfId="184"/>
    <cellStyle name="s139" xfId="185"/>
    <cellStyle name="s140" xfId="186"/>
    <cellStyle name="s141" xfId="187"/>
    <cellStyle name="s142" xfId="188"/>
    <cellStyle name="s143" xfId="189"/>
    <cellStyle name="s144" xfId="190"/>
    <cellStyle name="s145" xfId="191"/>
    <cellStyle name="s146" xfId="192"/>
    <cellStyle name="s147" xfId="193"/>
    <cellStyle name="s148" xfId="194"/>
    <cellStyle name="s149" xfId="195"/>
    <cellStyle name="s150" xfId="196"/>
    <cellStyle name="s151" xfId="197"/>
    <cellStyle name="s152" xfId="198"/>
    <cellStyle name="s153" xfId="199"/>
    <cellStyle name="s154" xfId="200"/>
    <cellStyle name="s155" xfId="201"/>
    <cellStyle name="s156" xfId="202"/>
    <cellStyle name="s157" xfId="203"/>
    <cellStyle name="s158" xfId="204"/>
    <cellStyle name="s159" xfId="205"/>
    <cellStyle name="s160" xfId="206"/>
    <cellStyle name="s161" xfId="207"/>
    <cellStyle name="s162" xfId="208"/>
    <cellStyle name="s163" xfId="209"/>
    <cellStyle name="s164" xfId="210"/>
    <cellStyle name="s165" xfId="211"/>
    <cellStyle name="s166" xfId="212"/>
    <cellStyle name="s167" xfId="213"/>
    <cellStyle name="s168" xfId="214"/>
    <cellStyle name="s169" xfId="215"/>
    <cellStyle name="s170" xfId="216"/>
    <cellStyle name="s171" xfId="217"/>
    <cellStyle name="s172" xfId="218"/>
    <cellStyle name="s173" xfId="219"/>
    <cellStyle name="s174" xfId="220"/>
    <cellStyle name="s175" xfId="221"/>
    <cellStyle name="s176" xfId="222"/>
    <cellStyle name="s177" xfId="223"/>
    <cellStyle name="s178" xfId="224"/>
    <cellStyle name="s179" xfId="225"/>
    <cellStyle name="s180" xfId="226"/>
    <cellStyle name="s181" xfId="227"/>
    <cellStyle name="s182" xfId="228"/>
    <cellStyle name="s183" xfId="229"/>
    <cellStyle name="s184" xfId="230"/>
    <cellStyle name="s185" xfId="231"/>
    <cellStyle name="s186" xfId="232"/>
    <cellStyle name="s187" xfId="233"/>
    <cellStyle name="s188" xfId="234"/>
    <cellStyle name="s189" xfId="235"/>
    <cellStyle name="s190" xfId="236"/>
    <cellStyle name="s191" xfId="237"/>
    <cellStyle name="s192" xfId="238"/>
    <cellStyle name="s193" xfId="239"/>
    <cellStyle name="s194" xfId="240"/>
    <cellStyle name="s195" xfId="241"/>
    <cellStyle name="s196" xfId="242"/>
    <cellStyle name="s197" xfId="243"/>
    <cellStyle name="s198" xfId="244"/>
    <cellStyle name="s199" xfId="245"/>
    <cellStyle name="s200" xfId="246"/>
    <cellStyle name="s201" xfId="247"/>
    <cellStyle name="s202" xfId="248"/>
    <cellStyle name="s203" xfId="249"/>
    <cellStyle name="s204" xfId="250"/>
    <cellStyle name="s205" xfId="251"/>
    <cellStyle name="s206" xfId="252"/>
    <cellStyle name="s207" xfId="253"/>
    <cellStyle name="s208" xfId="254"/>
    <cellStyle name="s209" xfId="255"/>
    <cellStyle name="s210" xfId="256"/>
    <cellStyle name="s211" xfId="257"/>
    <cellStyle name="s212" xfId="258"/>
    <cellStyle name="s213" xfId="259"/>
    <cellStyle name="s214" xfId="260"/>
    <cellStyle name="s215" xfId="261"/>
    <cellStyle name="s216" xfId="262"/>
    <cellStyle name="s217" xfId="263"/>
    <cellStyle name="s218" xfId="264"/>
    <cellStyle name="s219" xfId="265"/>
    <cellStyle name="s220" xfId="266"/>
    <cellStyle name="s221" xfId="267"/>
    <cellStyle name="s222" xfId="268"/>
    <cellStyle name="s223" xfId="269"/>
    <cellStyle name="s224" xfId="270"/>
    <cellStyle name="s225" xfId="271"/>
    <cellStyle name="s226" xfId="272"/>
    <cellStyle name="s227" xfId="273"/>
    <cellStyle name="s228" xfId="274"/>
    <cellStyle name="s229" xfId="275"/>
    <cellStyle name="s230" xfId="276"/>
    <cellStyle name="s231" xfId="277"/>
    <cellStyle name="s232" xfId="278"/>
    <cellStyle name="s233" xfId="279"/>
    <cellStyle name="s234" xfId="280"/>
    <cellStyle name="s235" xfId="281"/>
    <cellStyle name="s236" xfId="282"/>
    <cellStyle name="s237" xfId="283"/>
    <cellStyle name="s238" xfId="284"/>
    <cellStyle name="s239" xfId="285"/>
    <cellStyle name="s240" xfId="286"/>
    <cellStyle name="s241" xfId="287"/>
    <cellStyle name="s242" xfId="288"/>
    <cellStyle name="s243" xfId="289"/>
    <cellStyle name="s244" xfId="290"/>
    <cellStyle name="s245" xfId="291"/>
    <cellStyle name="s246" xfId="292"/>
    <cellStyle name="s247" xfId="293"/>
    <cellStyle name="s248" xfId="294"/>
    <cellStyle name="s249" xfId="295"/>
    <cellStyle name="s250" xfId="296"/>
    <cellStyle name="s251" xfId="297"/>
    <cellStyle name="s252" xfId="298"/>
    <cellStyle name="s253" xfId="299"/>
    <cellStyle name="s254" xfId="300"/>
    <cellStyle name="s255" xfId="301"/>
    <cellStyle name="s256" xfId="302"/>
    <cellStyle name="s257" xfId="303"/>
    <cellStyle name="s258" xfId="304"/>
    <cellStyle name="s259" xfId="305"/>
    <cellStyle name="s260" xfId="306"/>
    <cellStyle name="s261" xfId="307"/>
    <cellStyle name="s262" xfId="308"/>
    <cellStyle name="s263" xfId="309"/>
    <cellStyle name="s264" xfId="310"/>
    <cellStyle name="s265" xfId="311"/>
    <cellStyle name="s266" xfId="312"/>
    <cellStyle name="s267" xfId="313"/>
    <cellStyle name="s268" xfId="314"/>
    <cellStyle name="s269" xfId="315"/>
    <cellStyle name="s270" xfId="316"/>
    <cellStyle name="s271" xfId="317"/>
    <cellStyle name="s272" xfId="318"/>
    <cellStyle name="s273" xfId="319"/>
    <cellStyle name="s274" xfId="320"/>
    <cellStyle name="s275" xfId="321"/>
    <cellStyle name="s276" xfId="322"/>
    <cellStyle name="s277" xfId="323"/>
    <cellStyle name="s278" xfId="324"/>
    <cellStyle name="s279" xfId="325"/>
    <cellStyle name="s280" xfId="326"/>
    <cellStyle name="s281" xfId="327"/>
    <cellStyle name="s282" xfId="328"/>
    <cellStyle name="s283" xfId="329"/>
    <cellStyle name="s284" xfId="330"/>
    <cellStyle name="s285" xfId="331"/>
    <cellStyle name="s286" xfId="332"/>
    <cellStyle name="s287" xfId="333"/>
    <cellStyle name="s288" xfId="334"/>
    <cellStyle name="s289" xfId="335"/>
    <cellStyle name="s290" xfId="336"/>
    <cellStyle name="s291" xfId="337"/>
    <cellStyle name="s292" xfId="338"/>
    <cellStyle name="s293" xfId="339"/>
    <cellStyle name="s294" xfId="340"/>
    <cellStyle name="s295" xfId="341"/>
    <cellStyle name="s296" xfId="342"/>
    <cellStyle name="s297" xfId="343"/>
    <cellStyle name="s298" xfId="344"/>
    <cellStyle name="s299" xfId="345"/>
    <cellStyle name="s300" xfId="346"/>
    <cellStyle name="s301" xfId="347"/>
    <cellStyle name="s302" xfId="348"/>
    <cellStyle name="s303" xfId="349"/>
    <cellStyle name="s304" xfId="350"/>
    <cellStyle name="s305" xfId="351"/>
    <cellStyle name="s306" xfId="352"/>
    <cellStyle name="s307" xfId="353"/>
    <cellStyle name="s308" xfId="354"/>
    <cellStyle name="s309" xfId="355"/>
    <cellStyle name="s310" xfId="356"/>
    <cellStyle name="s311" xfId="357"/>
    <cellStyle name="s312" xfId="358"/>
    <cellStyle name="s313" xfId="359"/>
    <cellStyle name="s314" xfId="360"/>
    <cellStyle name="s315" xfId="361"/>
    <cellStyle name="s316" xfId="362"/>
    <cellStyle name="s317" xfId="363"/>
    <cellStyle name="s318" xfId="364"/>
    <cellStyle name="s319" xfId="365"/>
    <cellStyle name="s320" xfId="366"/>
    <cellStyle name="s321" xfId="367"/>
    <cellStyle name="s322" xfId="368"/>
    <cellStyle name="s323" xfId="369"/>
    <cellStyle name="s324" xfId="370"/>
    <cellStyle name="s325" xfId="371"/>
    <cellStyle name="s326" xfId="372"/>
    <cellStyle name="s327" xfId="373"/>
    <cellStyle name="s328" xfId="374"/>
    <cellStyle name="s329" xfId="375"/>
    <cellStyle name="s330" xfId="376"/>
    <cellStyle name="s331" xfId="377"/>
    <cellStyle name="s332" xfId="378"/>
    <cellStyle name="s333" xfId="379"/>
    <cellStyle name="s334" xfId="380"/>
    <cellStyle name="s335" xfId="381"/>
    <cellStyle name="s336" xfId="382"/>
    <cellStyle name="s337" xfId="383"/>
    <cellStyle name="s338" xfId="384"/>
    <cellStyle name="s339" xfId="385"/>
    <cellStyle name="s340" xfId="386"/>
    <cellStyle name="s341" xfId="387"/>
    <cellStyle name="s342" xfId="388"/>
    <cellStyle name="s343" xfId="389"/>
    <cellStyle name="s344" xfId="390"/>
    <cellStyle name="s345" xfId="391"/>
    <cellStyle name="s346" xfId="392"/>
    <cellStyle name="s347" xfId="393"/>
    <cellStyle name="s348" xfId="394"/>
    <cellStyle name="s349" xfId="395"/>
    <cellStyle name="s350" xfId="396"/>
    <cellStyle name="s351" xfId="397"/>
    <cellStyle name="s352" xfId="398"/>
    <cellStyle name="s353" xfId="399"/>
    <cellStyle name="s354" xfId="400"/>
    <cellStyle name="s355" xfId="401"/>
    <cellStyle name="s356" xfId="402"/>
    <cellStyle name="s357" xfId="403"/>
    <cellStyle name="s358" xfId="404"/>
    <cellStyle name="s359" xfId="405"/>
    <cellStyle name="s360" xfId="406"/>
    <cellStyle name="s361" xfId="407"/>
    <cellStyle name="s362" xfId="408"/>
    <cellStyle name="s363" xfId="409"/>
    <cellStyle name="s364" xfId="410"/>
    <cellStyle name="s365" xfId="411"/>
    <cellStyle name="s366" xfId="412"/>
    <cellStyle name="s367" xfId="413"/>
    <cellStyle name="s368" xfId="414"/>
    <cellStyle name="s369" xfId="415"/>
    <cellStyle name="s370" xfId="416"/>
    <cellStyle name="s371" xfId="417"/>
    <cellStyle name="s372" xfId="418"/>
    <cellStyle name="s373" xfId="419"/>
    <cellStyle name="s374" xfId="420"/>
    <cellStyle name="s375" xfId="421"/>
    <cellStyle name="s376" xfId="422"/>
    <cellStyle name="s377" xfId="423"/>
    <cellStyle name="s378" xfId="424"/>
    <cellStyle name="s379" xfId="425"/>
    <cellStyle name="s380" xfId="426"/>
    <cellStyle name="s381" xfId="427"/>
    <cellStyle name="s382" xfId="428"/>
    <cellStyle name="s383" xfId="429"/>
    <cellStyle name="s384" xfId="430"/>
    <cellStyle name="s385" xfId="431"/>
    <cellStyle name="s386" xfId="432"/>
    <cellStyle name="s387" xfId="433"/>
    <cellStyle name="s388" xfId="434"/>
    <cellStyle name="s389" xfId="435"/>
    <cellStyle name="s390" xfId="436"/>
    <cellStyle name="s391" xfId="437"/>
    <cellStyle name="s392" xfId="438"/>
    <cellStyle name="s393" xfId="439"/>
    <cellStyle name="s394" xfId="440"/>
    <cellStyle name="s395" xfId="441"/>
    <cellStyle name="s396" xfId="442"/>
    <cellStyle name="s397" xfId="443"/>
    <cellStyle name="s398" xfId="444"/>
    <cellStyle name="s399" xfId="445"/>
    <cellStyle name="s400" xfId="446"/>
    <cellStyle name="s401" xfId="447"/>
    <cellStyle name="s402" xfId="448"/>
    <cellStyle name="s403" xfId="449"/>
    <cellStyle name="s404" xfId="450"/>
    <cellStyle name="s405" xfId="451"/>
    <cellStyle name="s406" xfId="452"/>
    <cellStyle name="s407" xfId="453"/>
    <cellStyle name="s408" xfId="454"/>
    <cellStyle name="s409" xfId="455"/>
    <cellStyle name="s410" xfId="456"/>
    <cellStyle name="s411" xfId="457"/>
    <cellStyle name="s412" xfId="458"/>
    <cellStyle name="s413" xfId="459"/>
    <cellStyle name="s414" xfId="460"/>
    <cellStyle name="s415" xfId="461"/>
    <cellStyle name="s416" xfId="462"/>
    <cellStyle name="s417" xfId="463"/>
    <cellStyle name="s418" xfId="464"/>
    <cellStyle name="s419" xfId="465"/>
    <cellStyle name="s420" xfId="466"/>
    <cellStyle name="s421" xfId="467"/>
    <cellStyle name="s422" xfId="468"/>
    <cellStyle name="s423" xfId="469"/>
    <cellStyle name="s424" xfId="470"/>
    <cellStyle name="s425" xfId="471"/>
    <cellStyle name="s426" xfId="472"/>
    <cellStyle name="s427" xfId="473"/>
    <cellStyle name="s428" xfId="474"/>
    <cellStyle name="s429" xfId="475"/>
    <cellStyle name="s430" xfId="476"/>
    <cellStyle name="s431" xfId="477"/>
    <cellStyle name="s432" xfId="478"/>
    <cellStyle name="s433" xfId="479"/>
    <cellStyle name="s434" xfId="480"/>
    <cellStyle name="s435" xfId="481"/>
    <cellStyle name="s436" xfId="482"/>
    <cellStyle name="s437" xfId="483"/>
    <cellStyle name="s438" xfId="484"/>
    <cellStyle name="s439" xfId="485"/>
    <cellStyle name="s440" xfId="486"/>
    <cellStyle name="s441" xfId="487"/>
    <cellStyle name="s442" xfId="488"/>
    <cellStyle name="s443" xfId="489"/>
    <cellStyle name="s444" xfId="490"/>
    <cellStyle name="s445" xfId="491"/>
    <cellStyle name="s446" xfId="492"/>
    <cellStyle name="s447" xfId="493"/>
    <cellStyle name="s448" xfId="494"/>
    <cellStyle name="s449" xfId="495"/>
    <cellStyle name="s450" xfId="496"/>
    <cellStyle name="s451" xfId="497"/>
    <cellStyle name="s452" xfId="498"/>
    <cellStyle name="s453" xfId="499"/>
    <cellStyle name="s454" xfId="500"/>
    <cellStyle name="s455" xfId="501"/>
    <cellStyle name="s456" xfId="502"/>
    <cellStyle name="s457" xfId="503"/>
    <cellStyle name="s458" xfId="504"/>
    <cellStyle name="s459" xfId="505"/>
    <cellStyle name="s460" xfId="506"/>
    <cellStyle name="s461" xfId="507"/>
    <cellStyle name="s462" xfId="508"/>
    <cellStyle name="s463" xfId="509"/>
    <cellStyle name="s464" xfId="510"/>
    <cellStyle name="s465" xfId="511"/>
    <cellStyle name="s466" xfId="512"/>
    <cellStyle name="s467" xfId="513"/>
    <cellStyle name="s468" xfId="514"/>
    <cellStyle name="s469" xfId="515"/>
    <cellStyle name="s470" xfId="516"/>
    <cellStyle name="s471" xfId="517"/>
    <cellStyle name="s472" xfId="518"/>
    <cellStyle name="s473" xfId="519"/>
    <cellStyle name="s474" xfId="520"/>
    <cellStyle name="s475" xfId="521"/>
    <cellStyle name="s476" xfId="522"/>
    <cellStyle name="s477" xfId="523"/>
    <cellStyle name="s478" xfId="524"/>
    <cellStyle name="s479" xfId="525"/>
    <cellStyle name="s480" xfId="526"/>
    <cellStyle name="s481" xfId="527"/>
    <cellStyle name="s482" xfId="528"/>
    <cellStyle name="s483" xfId="529"/>
    <cellStyle name="s484" xfId="530"/>
    <cellStyle name="s485" xfId="531"/>
    <cellStyle name="s486" xfId="532"/>
    <cellStyle name="s487" xfId="533"/>
    <cellStyle name="s488" xfId="534"/>
    <cellStyle name="s489" xfId="535"/>
    <cellStyle name="s490" xfId="536"/>
    <cellStyle name="s491" xfId="537"/>
    <cellStyle name="s492" xfId="538"/>
    <cellStyle name="s493" xfId="539"/>
    <cellStyle name="s494" xfId="540"/>
    <cellStyle name="s495" xfId="541"/>
    <cellStyle name="s496" xfId="542"/>
    <cellStyle name="s497" xfId="543"/>
    <cellStyle name="s498" xfId="544"/>
    <cellStyle name="s499" xfId="545"/>
    <cellStyle name="s500" xfId="546"/>
    <cellStyle name="s501" xfId="547"/>
    <cellStyle name="s502" xfId="548"/>
    <cellStyle name="s503" xfId="549"/>
    <cellStyle name="s504" xfId="550"/>
    <cellStyle name="s505" xfId="551"/>
    <cellStyle name="s506" xfId="552"/>
    <cellStyle name="s507" xfId="553"/>
    <cellStyle name="s508" xfId="554"/>
    <cellStyle name="s509" xfId="555"/>
    <cellStyle name="s510" xfId="556"/>
    <cellStyle name="s511" xfId="557"/>
    <cellStyle name="s512" xfId="558"/>
    <cellStyle name="s513" xfId="559"/>
    <cellStyle name="s514" xfId="560"/>
    <cellStyle name="s515" xfId="561"/>
    <cellStyle name="s516" xfId="562"/>
    <cellStyle name="s517" xfId="563"/>
    <cellStyle name="s518" xfId="564"/>
    <cellStyle name="s519" xfId="565"/>
    <cellStyle name="s520" xfId="566"/>
    <cellStyle name="s521" xfId="567"/>
    <cellStyle name="s522" xfId="568"/>
    <cellStyle name="s523" xfId="569"/>
    <cellStyle name="s524" xfId="570"/>
    <cellStyle name="s525" xfId="571"/>
    <cellStyle name="s526" xfId="572"/>
    <cellStyle name="s527" xfId="573"/>
    <cellStyle name="s528" xfId="574"/>
    <cellStyle name="s529" xfId="575"/>
    <cellStyle name="s530" xfId="576"/>
    <cellStyle name="s531" xfId="577"/>
    <cellStyle name="s532" xfId="578"/>
    <cellStyle name="s533" xfId="579"/>
    <cellStyle name="s534" xfId="580"/>
    <cellStyle name="s535" xfId="581"/>
    <cellStyle name="s536" xfId="582"/>
    <cellStyle name="s537" xfId="583"/>
    <cellStyle name="s538" xfId="584"/>
    <cellStyle name="s539" xfId="585"/>
    <cellStyle name="s540" xfId="586"/>
    <cellStyle name="s541" xfId="587"/>
    <cellStyle name="s542" xfId="588"/>
    <cellStyle name="s543" xfId="589"/>
    <cellStyle name="s544" xfId="590"/>
    <cellStyle name="s545" xfId="591"/>
    <cellStyle name="s546" xfId="592"/>
    <cellStyle name="s547" xfId="593"/>
    <cellStyle name="s548" xfId="594"/>
    <cellStyle name="s549" xfId="595"/>
    <cellStyle name="s550" xfId="596"/>
    <cellStyle name="s551" xfId="597"/>
    <cellStyle name="s552" xfId="598"/>
    <cellStyle name="s553" xfId="599"/>
    <cellStyle name="s554" xfId="600"/>
    <cellStyle name="s555" xfId="601"/>
    <cellStyle name="s556" xfId="602"/>
    <cellStyle name="s557" xfId="603"/>
    <cellStyle name="s558" xfId="604"/>
    <cellStyle name="s559" xfId="605"/>
    <cellStyle name="s560" xfId="606"/>
    <cellStyle name="s561" xfId="607"/>
    <cellStyle name="s562" xfId="608"/>
    <cellStyle name="s563" xfId="609"/>
    <cellStyle name="s564" xfId="610"/>
    <cellStyle name="s565" xfId="611"/>
    <cellStyle name="s566" xfId="612"/>
    <cellStyle name="s567" xfId="613"/>
    <cellStyle name="s568" xfId="614"/>
    <cellStyle name="s569" xfId="615"/>
    <cellStyle name="s570" xfId="616"/>
    <cellStyle name="s571" xfId="617"/>
    <cellStyle name="s572" xfId="618"/>
    <cellStyle name="s573" xfId="619"/>
    <cellStyle name="s574" xfId="620"/>
    <cellStyle name="s575" xfId="621"/>
    <cellStyle name="s576" xfId="622"/>
    <cellStyle name="s577" xfId="623"/>
    <cellStyle name="s578" xfId="624"/>
    <cellStyle name="s579" xfId="625"/>
    <cellStyle name="s580" xfId="626"/>
    <cellStyle name="s581" xfId="627"/>
    <cellStyle name="s582" xfId="628"/>
    <cellStyle name="s583" xfId="629"/>
    <cellStyle name="s584" xfId="630"/>
    <cellStyle name="s585" xfId="631"/>
    <cellStyle name="s586" xfId="632"/>
    <cellStyle name="s587" xfId="633"/>
    <cellStyle name="s588" xfId="634"/>
    <cellStyle name="s589" xfId="635"/>
    <cellStyle name="s590" xfId="636"/>
    <cellStyle name="s591" xfId="637"/>
    <cellStyle name="s592" xfId="638"/>
    <cellStyle name="s593" xfId="639"/>
    <cellStyle name="s594" xfId="640"/>
    <cellStyle name="s595" xfId="641"/>
    <cellStyle name="s596" xfId="642"/>
    <cellStyle name="s597" xfId="643"/>
    <cellStyle name="s598" xfId="644"/>
    <cellStyle name="s599" xfId="645"/>
    <cellStyle name="s600" xfId="646"/>
    <cellStyle name="s601" xfId="647"/>
    <cellStyle name="s602" xfId="648"/>
    <cellStyle name="s603" xfId="649"/>
    <cellStyle name="s604" xfId="650"/>
    <cellStyle name="s605" xfId="651"/>
    <cellStyle name="s606" xfId="652"/>
    <cellStyle name="s607" xfId="653"/>
    <cellStyle name="s608" xfId="654"/>
    <cellStyle name="s609" xfId="655"/>
    <cellStyle name="s610" xfId="656"/>
    <cellStyle name="s611" xfId="657"/>
    <cellStyle name="s612" xfId="658"/>
    <cellStyle name="s613" xfId="659"/>
    <cellStyle name="s614" xfId="660"/>
    <cellStyle name="s615" xfId="661"/>
    <cellStyle name="s616" xfId="662"/>
    <cellStyle name="s617" xfId="663"/>
    <cellStyle name="s618" xfId="664"/>
    <cellStyle name="s619" xfId="665"/>
    <cellStyle name="s620" xfId="666"/>
    <cellStyle name="s621" xfId="667"/>
    <cellStyle name="s622" xfId="668"/>
    <cellStyle name="s623" xfId="669"/>
    <cellStyle name="s624" xfId="670"/>
    <cellStyle name="s625" xfId="671"/>
    <cellStyle name="s626" xfId="672"/>
    <cellStyle name="s627" xfId="673"/>
    <cellStyle name="s628" xfId="674"/>
    <cellStyle name="s629" xfId="675"/>
    <cellStyle name="s630" xfId="676"/>
    <cellStyle name="s631" xfId="677"/>
    <cellStyle name="s632" xfId="678"/>
    <cellStyle name="s633" xfId="679"/>
    <cellStyle name="s634" xfId="680"/>
    <cellStyle name="s635" xfId="681"/>
    <cellStyle name="s636" xfId="682"/>
    <cellStyle name="s637" xfId="683"/>
    <cellStyle name="s638" xfId="684"/>
    <cellStyle name="s639" xfId="685"/>
    <cellStyle name="s640" xfId="686"/>
    <cellStyle name="s641" xfId="687"/>
    <cellStyle name="s642" xfId="688"/>
    <cellStyle name="s643" xfId="689"/>
    <cellStyle name="s644" xfId="690"/>
    <cellStyle name="s645" xfId="691"/>
    <cellStyle name="s646" xfId="692"/>
    <cellStyle name="s647" xfId="693"/>
    <cellStyle name="s648" xfId="694"/>
    <cellStyle name="s649" xfId="695"/>
    <cellStyle name="s650" xfId="696"/>
    <cellStyle name="s651" xfId="697"/>
    <cellStyle name="s652" xfId="698"/>
    <cellStyle name="s653" xfId="699"/>
    <cellStyle name="s654" xfId="700"/>
    <cellStyle name="s655" xfId="701"/>
    <cellStyle name="s656" xfId="702"/>
    <cellStyle name="s657" xfId="703"/>
    <cellStyle name="s658" xfId="704"/>
    <cellStyle name="s659" xfId="705"/>
    <cellStyle name="s660" xfId="706"/>
    <cellStyle name="s661" xfId="707"/>
    <cellStyle name="s662" xfId="708"/>
    <cellStyle name="s663" xfId="709"/>
    <cellStyle name="s664" xfId="710"/>
    <cellStyle name="s665" xfId="711"/>
    <cellStyle name="s666" xfId="712"/>
    <cellStyle name="s667" xfId="713"/>
    <cellStyle name="s668" xfId="714"/>
    <cellStyle name="s669" xfId="715"/>
    <cellStyle name="s670" xfId="716"/>
    <cellStyle name="s671" xfId="717"/>
    <cellStyle name="s672" xfId="718"/>
    <cellStyle name="s673" xfId="719"/>
    <cellStyle name="s674" xfId="720"/>
    <cellStyle name="s675" xfId="721"/>
    <cellStyle name="s676" xfId="722"/>
    <cellStyle name="s677" xfId="723"/>
    <cellStyle name="s678" xfId="724"/>
    <cellStyle name="s679" xfId="725"/>
    <cellStyle name="s680" xfId="726"/>
    <cellStyle name="s681" xfId="727"/>
    <cellStyle name="s682" xfId="728"/>
    <cellStyle name="s683" xfId="729"/>
    <cellStyle name="s684" xfId="730"/>
    <cellStyle name="s685" xfId="731"/>
    <cellStyle name="s686" xfId="732"/>
    <cellStyle name="s687" xfId="733"/>
    <cellStyle name="s688" xfId="734"/>
    <cellStyle name="s689" xfId="735"/>
    <cellStyle name="s690" xfId="736"/>
    <cellStyle name="s691" xfId="737"/>
    <cellStyle name="s692" xfId="738"/>
    <cellStyle name="s693" xfId="739"/>
    <cellStyle name="s694" xfId="740"/>
    <cellStyle name="s695" xfId="741"/>
    <cellStyle name="s696" xfId="742"/>
    <cellStyle name="s697" xfId="743"/>
    <cellStyle name="s698" xfId="744"/>
    <cellStyle name="s699" xfId="745"/>
    <cellStyle name="s700" xfId="746"/>
    <cellStyle name="s701" xfId="747"/>
    <cellStyle name="s702" xfId="748"/>
    <cellStyle name="s703" xfId="749"/>
    <cellStyle name="s704" xfId="750"/>
    <cellStyle name="s705" xfId="751"/>
    <cellStyle name="s706" xfId="752"/>
    <cellStyle name="s707" xfId="753"/>
    <cellStyle name="s708" xfId="754"/>
    <cellStyle name="s709" xfId="755"/>
    <cellStyle name="s710" xfId="756"/>
    <cellStyle name="s711" xfId="757"/>
    <cellStyle name="s712" xfId="758"/>
    <cellStyle name="s713" xfId="759"/>
    <cellStyle name="s714" xfId="760"/>
    <cellStyle name="s715" xfId="761"/>
    <cellStyle name="s716" xfId="762"/>
    <cellStyle name="s717" xfId="763"/>
    <cellStyle name="s718" xfId="764"/>
    <cellStyle name="s719" xfId="765"/>
    <cellStyle name="s720" xfId="766"/>
    <cellStyle name="s721" xfId="767"/>
    <cellStyle name="s722" xfId="768"/>
    <cellStyle name="s723" xfId="769"/>
    <cellStyle name="s724" xfId="770"/>
    <cellStyle name="s725" xfId="771"/>
    <cellStyle name="s726" xfId="772"/>
    <cellStyle name="s727" xfId="773"/>
    <cellStyle name="s728" xfId="774"/>
    <cellStyle name="s729" xfId="775"/>
    <cellStyle name="s730" xfId="776"/>
    <cellStyle name="s731" xfId="777"/>
    <cellStyle name="s732" xfId="778"/>
    <cellStyle name="s733" xfId="779"/>
    <cellStyle name="s734" xfId="780"/>
    <cellStyle name="s735" xfId="781"/>
    <cellStyle name="s736" xfId="782"/>
    <cellStyle name="s737" xfId="783"/>
    <cellStyle name="s738" xfId="784"/>
    <cellStyle name="s739" xfId="785"/>
    <cellStyle name="s740" xfId="786"/>
    <cellStyle name="s741" xfId="787"/>
    <cellStyle name="s742" xfId="788"/>
    <cellStyle name="s743" xfId="789"/>
    <cellStyle name="s744" xfId="790"/>
    <cellStyle name="s745" xfId="791"/>
    <cellStyle name="s746" xfId="792"/>
    <cellStyle name="s747" xfId="793"/>
    <cellStyle name="s748" xfId="794"/>
    <cellStyle name="s749" xfId="795"/>
    <cellStyle name="s750" xfId="796"/>
    <cellStyle name="s751" xfId="797"/>
    <cellStyle name="s752" xfId="798"/>
    <cellStyle name="s753" xfId="799"/>
    <cellStyle name="s754" xfId="800"/>
    <cellStyle name="s755" xfId="801"/>
    <cellStyle name="s756" xfId="802"/>
    <cellStyle name="s757" xfId="803"/>
    <cellStyle name="s758" xfId="804"/>
    <cellStyle name="s759" xfId="805"/>
    <cellStyle name="s760" xfId="806"/>
    <cellStyle name="s761" xfId="807"/>
    <cellStyle name="s762" xfId="808"/>
    <cellStyle name="s763" xfId="809"/>
    <cellStyle name="s764" xfId="810"/>
    <cellStyle name="s765" xfId="811"/>
    <cellStyle name="s766" xfId="812"/>
    <cellStyle name="s767" xfId="813"/>
    <cellStyle name="s768" xfId="814"/>
    <cellStyle name="s769" xfId="815"/>
    <cellStyle name="s770" xfId="816"/>
    <cellStyle name="s771" xfId="817"/>
    <cellStyle name="s772" xfId="818"/>
    <cellStyle name="s773" xfId="819"/>
    <cellStyle name="s774" xfId="820"/>
    <cellStyle name="s775" xfId="821"/>
    <cellStyle name="s776" xfId="822"/>
    <cellStyle name="s777" xfId="823"/>
    <cellStyle name="s778" xfId="824"/>
    <cellStyle name="s779" xfId="825"/>
    <cellStyle name="s780" xfId="826"/>
    <cellStyle name="s781" xfId="827"/>
    <cellStyle name="s782" xfId="828"/>
    <cellStyle name="s783" xfId="829"/>
    <cellStyle name="s784" xfId="830"/>
    <cellStyle name="s785" xfId="831"/>
    <cellStyle name="s786" xfId="832"/>
    <cellStyle name="s787" xfId="833"/>
    <cellStyle name="s788" xfId="834"/>
    <cellStyle name="s789" xfId="835"/>
    <cellStyle name="s790" xfId="836"/>
    <cellStyle name="s791" xfId="837"/>
    <cellStyle name="s792" xfId="838"/>
    <cellStyle name="s793" xfId="839"/>
    <cellStyle name="s794" xfId="840"/>
    <cellStyle name="s795" xfId="841"/>
    <cellStyle name="s796" xfId="842"/>
    <cellStyle name="s797" xfId="843"/>
    <cellStyle name="s798" xfId="844"/>
    <cellStyle name="s799" xfId="845"/>
    <cellStyle name="s800" xfId="846"/>
    <cellStyle name="s801" xfId="847"/>
    <cellStyle name="s802" xfId="848"/>
    <cellStyle name="s803" xfId="849"/>
    <cellStyle name="s804" xfId="850"/>
    <cellStyle name="s805" xfId="851"/>
    <cellStyle name="s806" xfId="852"/>
    <cellStyle name="s807" xfId="853"/>
    <cellStyle name="s808" xfId="854"/>
    <cellStyle name="s809" xfId="855"/>
    <cellStyle name="s810" xfId="856"/>
    <cellStyle name="s811" xfId="857"/>
    <cellStyle name="s812" xfId="858"/>
    <cellStyle name="s813" xfId="859"/>
    <cellStyle name="s814" xfId="860"/>
    <cellStyle name="s815" xfId="861"/>
    <cellStyle name="s816" xfId="862"/>
    <cellStyle name="s817" xfId="863"/>
    <cellStyle name="s818" xfId="864"/>
    <cellStyle name="s819" xfId="865"/>
    <cellStyle name="s820" xfId="866"/>
    <cellStyle name="s821" xfId="867"/>
    <cellStyle name="s822" xfId="868"/>
    <cellStyle name="s823" xfId="869"/>
    <cellStyle name="s824" xfId="870"/>
    <cellStyle name="s825" xfId="871"/>
    <cellStyle name="s826" xfId="872"/>
    <cellStyle name="s827" xfId="873"/>
    <cellStyle name="s828" xfId="874"/>
    <cellStyle name="s829" xfId="875"/>
    <cellStyle name="s830" xfId="876"/>
    <cellStyle name="s831" xfId="877"/>
    <cellStyle name="s832" xfId="878"/>
    <cellStyle name="s833" xfId="879"/>
    <cellStyle name="s834" xfId="880"/>
    <cellStyle name="s835" xfId="881"/>
    <cellStyle name="s836" xfId="882"/>
    <cellStyle name="s837" xfId="883"/>
    <cellStyle name="s838" xfId="884"/>
    <cellStyle name="s839" xfId="885"/>
    <cellStyle name="s840" xfId="886"/>
    <cellStyle name="s841" xfId="887"/>
    <cellStyle name="s842" xfId="888"/>
    <cellStyle name="s843" xfId="889"/>
    <cellStyle name="s844" xfId="890"/>
    <cellStyle name="s845" xfId="891"/>
    <cellStyle name="s846" xfId="892"/>
    <cellStyle name="s847" xfId="893"/>
    <cellStyle name="s848" xfId="894"/>
    <cellStyle name="s849" xfId="895"/>
    <cellStyle name="s850" xfId="896"/>
    <cellStyle name="s851" xfId="897"/>
    <cellStyle name="s852" xfId="898"/>
    <cellStyle name="s853" xfId="899"/>
    <cellStyle name="s854" xfId="900"/>
    <cellStyle name="s855" xfId="901"/>
    <cellStyle name="s856" xfId="902"/>
    <cellStyle name="s857" xfId="903"/>
    <cellStyle name="s858" xfId="904"/>
    <cellStyle name="s859" xfId="905"/>
    <cellStyle name="s860" xfId="906"/>
    <cellStyle name="s861" xfId="907"/>
    <cellStyle name="s862" xfId="908"/>
    <cellStyle name="s863" xfId="909"/>
    <cellStyle name="s864" xfId="910"/>
    <cellStyle name="s865" xfId="911"/>
    <cellStyle name="s866" xfId="912"/>
    <cellStyle name="s867" xfId="913"/>
    <cellStyle name="s868" xfId="914"/>
    <cellStyle name="s869" xfId="915"/>
    <cellStyle name="s870" xfId="916"/>
    <cellStyle name="s871" xfId="917"/>
    <cellStyle name="s872" xfId="918"/>
    <cellStyle name="s873" xfId="919"/>
    <cellStyle name="s874" xfId="920"/>
    <cellStyle name="s875" xfId="921"/>
    <cellStyle name="s876" xfId="922"/>
    <cellStyle name="s877" xfId="923"/>
    <cellStyle name="s878" xfId="924"/>
    <cellStyle name="s879" xfId="925"/>
    <cellStyle name="s880" xfId="926"/>
    <cellStyle name="s881" xfId="927"/>
    <cellStyle name="s882" xfId="928"/>
    <cellStyle name="s883" xfId="929"/>
    <cellStyle name="s884" xfId="930"/>
    <cellStyle name="s885" xfId="931"/>
    <cellStyle name="s886" xfId="932"/>
    <cellStyle name="s887" xfId="933"/>
    <cellStyle name="s888" xfId="934"/>
    <cellStyle name="s889" xfId="935"/>
    <cellStyle name="s890" xfId="936"/>
    <cellStyle name="s891" xfId="937"/>
    <cellStyle name="s892" xfId="938"/>
    <cellStyle name="s893" xfId="939"/>
    <cellStyle name="s894" xfId="940"/>
    <cellStyle name="s895" xfId="941"/>
    <cellStyle name="s896" xfId="942"/>
    <cellStyle name="s897" xfId="943"/>
    <cellStyle name="s898" xfId="944"/>
    <cellStyle name="s899" xfId="945"/>
    <cellStyle name="s900" xfId="946"/>
    <cellStyle name="s901" xfId="947"/>
    <cellStyle name="s902" xfId="948"/>
    <cellStyle name="s903" xfId="949"/>
    <cellStyle name="s904" xfId="950"/>
    <cellStyle name="s905" xfId="951"/>
    <cellStyle name="s906" xfId="952"/>
    <cellStyle name="s907" xfId="953"/>
    <cellStyle name="s908" xfId="954"/>
    <cellStyle name="s909" xfId="955"/>
    <cellStyle name="s910" xfId="956"/>
    <cellStyle name="s911" xfId="957"/>
    <cellStyle name="s912" xfId="958"/>
    <cellStyle name="s913" xfId="959"/>
    <cellStyle name="s914" xfId="960"/>
    <cellStyle name="s915" xfId="961"/>
    <cellStyle name="s916" xfId="962"/>
    <cellStyle name="s917" xfId="963"/>
    <cellStyle name="s918" xfId="964"/>
    <cellStyle name="s919" xfId="965"/>
    <cellStyle name="s920" xfId="966"/>
    <cellStyle name="s921" xfId="967"/>
    <cellStyle name="s922" xfId="968"/>
    <cellStyle name="s923" xfId="969"/>
    <cellStyle name="s924" xfId="970"/>
    <cellStyle name="s925" xfId="971"/>
    <cellStyle name="s926" xfId="972"/>
    <cellStyle name="s927" xfId="973"/>
    <cellStyle name="s928" xfId="974"/>
    <cellStyle name="s929" xfId="975"/>
    <cellStyle name="s930" xfId="976"/>
    <cellStyle name="s931" xfId="977"/>
    <cellStyle name="s932" xfId="978"/>
    <cellStyle name="s933" xfId="979"/>
    <cellStyle name="s934" xfId="980"/>
    <cellStyle name="s935" xfId="981"/>
    <cellStyle name="s936" xfId="982"/>
    <cellStyle name="s937" xfId="983"/>
    <cellStyle name="s938" xfId="984"/>
    <cellStyle name="s939" xfId="985"/>
    <cellStyle name="s940" xfId="986"/>
    <cellStyle name="s941" xfId="987"/>
    <cellStyle name="s942" xfId="988"/>
    <cellStyle name="s943" xfId="989"/>
    <cellStyle name="s944" xfId="990"/>
    <cellStyle name="s945" xfId="991"/>
    <cellStyle name="s946" xfId="992"/>
    <cellStyle name="s947" xfId="993"/>
    <cellStyle name="s948" xfId="994"/>
    <cellStyle name="s949" xfId="995"/>
    <cellStyle name="s950" xfId="996"/>
    <cellStyle name="s951" xfId="997"/>
    <cellStyle name="s952" xfId="998"/>
    <cellStyle name="s953" xfId="999"/>
    <cellStyle name="s954" xfId="1000"/>
    <cellStyle name="s955" xfId="1001"/>
    <cellStyle name="s956" xfId="1002"/>
    <cellStyle name="s957" xfId="1003"/>
    <cellStyle name="s958" xfId="1004"/>
    <cellStyle name="s959" xfId="1005"/>
    <cellStyle name="s960" xfId="1006"/>
    <cellStyle name="s961" xfId="1007"/>
    <cellStyle name="s962" xfId="1008"/>
    <cellStyle name="s963" xfId="1009"/>
    <cellStyle name="s964" xfId="1010"/>
    <cellStyle name="s965" xfId="1011"/>
    <cellStyle name="s966" xfId="1012"/>
    <cellStyle name="s967" xfId="1013"/>
    <cellStyle name="s968" xfId="1014"/>
    <cellStyle name="s969" xfId="1015"/>
    <cellStyle name="s970" xfId="1016"/>
    <cellStyle name="s971" xfId="1017"/>
    <cellStyle name="s972" xfId="1018"/>
    <cellStyle name="s973" xfId="1019"/>
    <cellStyle name="s974" xfId="1020"/>
    <cellStyle name="s975" xfId="1021"/>
    <cellStyle name="s976" xfId="1022"/>
    <cellStyle name="s977" xfId="1023"/>
    <cellStyle name="s978" xfId="1024"/>
    <cellStyle name="s979" xfId="1025"/>
    <cellStyle name="s980" xfId="1026"/>
    <cellStyle name="s981" xfId="1027"/>
    <cellStyle name="s982" xfId="1028"/>
    <cellStyle name="s983" xfId="1029"/>
    <cellStyle name="s984" xfId="1030"/>
    <cellStyle name="s985" xfId="1031"/>
    <cellStyle name="s986" xfId="1032"/>
    <cellStyle name="s987" xfId="1033"/>
    <cellStyle name="s988" xfId="1034"/>
    <cellStyle name="s989" xfId="1035"/>
    <cellStyle name="s990" xfId="1036"/>
    <cellStyle name="s991" xfId="1037"/>
    <cellStyle name="s992" xfId="1038"/>
    <cellStyle name="s993" xfId="1039"/>
    <cellStyle name="s994" xfId="1040"/>
    <cellStyle name="s995" xfId="1041"/>
    <cellStyle name="s996" xfId="1042"/>
    <cellStyle name="s997" xfId="1043"/>
    <cellStyle name="s998" xfId="1044"/>
    <cellStyle name="s999" xfId="1045"/>
    <cellStyle name="s1000" xfId="1046"/>
    <cellStyle name="s1001" xfId="1047"/>
    <cellStyle name="s1002" xfId="1048"/>
    <cellStyle name="s1003" xfId="1049"/>
    <cellStyle name="s1004" xfId="1050"/>
    <cellStyle name="s1005" xfId="1051"/>
    <cellStyle name="s1006" xfId="1052"/>
    <cellStyle name="s1007" xfId="1053"/>
    <cellStyle name="s1008" xfId="1054"/>
    <cellStyle name="s1009" xfId="1055"/>
    <cellStyle name="s1010" xfId="1056"/>
    <cellStyle name="s1011" xfId="1057"/>
    <cellStyle name="s1012" xfId="1058"/>
    <cellStyle name="s1013" xfId="1059"/>
    <cellStyle name="s1014" xfId="1060"/>
    <cellStyle name="s1015" xfId="1061"/>
    <cellStyle name="s1016" xfId="1062"/>
    <cellStyle name="s1017" xfId="1063"/>
    <cellStyle name="s1018" xfId="1064"/>
    <cellStyle name="s1019" xfId="1065"/>
    <cellStyle name="s1020" xfId="1066"/>
    <cellStyle name="s1021" xfId="1067"/>
    <cellStyle name="s1022" xfId="1068"/>
    <cellStyle name="s1023" xfId="1069"/>
    <cellStyle name="s1024" xfId="1070"/>
    <cellStyle name="s1025" xfId="1071"/>
    <cellStyle name="s1026" xfId="1072"/>
    <cellStyle name="s1027" xfId="1073"/>
    <cellStyle name="s1028" xfId="1074"/>
    <cellStyle name="s1029" xfId="1075"/>
    <cellStyle name="s1030" xfId="1076"/>
    <cellStyle name="s1031" xfId="1077"/>
    <cellStyle name="s1032" xfId="1078"/>
    <cellStyle name="s1033" xfId="1079"/>
    <cellStyle name="s1034" xfId="1080"/>
    <cellStyle name="s1035" xfId="1081"/>
    <cellStyle name="s1036" xfId="1082"/>
    <cellStyle name="s1037" xfId="1083"/>
    <cellStyle name="s1038" xfId="1084"/>
    <cellStyle name="s1039" xfId="1085"/>
    <cellStyle name="s1040" xfId="1086"/>
    <cellStyle name="s1041" xfId="1087"/>
    <cellStyle name="s1042" xfId="1088"/>
    <cellStyle name="s1043" xfId="1089"/>
    <cellStyle name="s1044" xfId="1090"/>
    <cellStyle name="s1045" xfId="1091"/>
    <cellStyle name="s1046" xfId="1092"/>
    <cellStyle name="s1047" xfId="1093"/>
    <cellStyle name="s1048" xfId="1094"/>
    <cellStyle name="s1049" xfId="1095"/>
    <cellStyle name="s1050" xfId="1096"/>
    <cellStyle name="s1051" xfId="1097"/>
    <cellStyle name="s1052" xfId="1098"/>
    <cellStyle name="s1053" xfId="1099"/>
    <cellStyle name="s1054" xfId="1100"/>
    <cellStyle name="s1055" xfId="1101"/>
    <cellStyle name="s1056" xfId="1102"/>
    <cellStyle name="s1057" xfId="1103"/>
    <cellStyle name="s1058" xfId="1104"/>
    <cellStyle name="s1059" xfId="1105"/>
    <cellStyle name="s1060" xfId="1106"/>
    <cellStyle name="s1061" xfId="1107"/>
    <cellStyle name="s1062" xfId="1108"/>
    <cellStyle name="s1063" xfId="1109"/>
    <cellStyle name="s1064" xfId="1110"/>
    <cellStyle name="s1065" xfId="1111"/>
    <cellStyle name="s1066" xfId="1112"/>
    <cellStyle name="s1067" xfId="1113"/>
    <cellStyle name="s1068" xfId="1114"/>
    <cellStyle name="s1069" xfId="1115"/>
    <cellStyle name="s1070" xfId="1116"/>
    <cellStyle name="s1071" xfId="1117"/>
    <cellStyle name="s1072" xfId="1118"/>
    <cellStyle name="s1073" xfId="1119"/>
    <cellStyle name="s1074" xfId="1120"/>
    <cellStyle name="s1075" xfId="1121"/>
    <cellStyle name="s1076" xfId="1122"/>
    <cellStyle name="s1077" xfId="1123"/>
    <cellStyle name="s1078" xfId="1124"/>
    <cellStyle name="s1079" xfId="1125"/>
    <cellStyle name="s1080" xfId="1126"/>
    <cellStyle name="s1081" xfId="1127"/>
    <cellStyle name="s1082" xfId="1128"/>
    <cellStyle name="s1083" xfId="1129"/>
    <cellStyle name="s1084" xfId="1130"/>
    <cellStyle name="s1085" xfId="1131"/>
    <cellStyle name="s1086" xfId="1132"/>
    <cellStyle name="s1087" xfId="1133"/>
    <cellStyle name="s1088" xfId="1134"/>
    <cellStyle name="s1089" xfId="1135"/>
    <cellStyle name="s1090" xfId="1136"/>
    <cellStyle name="s1091" xfId="1137"/>
    <cellStyle name="s1092" xfId="1138"/>
    <cellStyle name="s1093" xfId="1139"/>
    <cellStyle name="s1094" xfId="1140"/>
    <cellStyle name="s1095" xfId="1141"/>
    <cellStyle name="s1096" xfId="1142"/>
    <cellStyle name="s1097" xfId="1143"/>
    <cellStyle name="s1098" xfId="1144"/>
    <cellStyle name="s1099" xfId="1145"/>
    <cellStyle name="s1100" xfId="1146"/>
    <cellStyle name="s1101" xfId="1147"/>
    <cellStyle name="s1102" xfId="1148"/>
    <cellStyle name="s1103" xfId="1149"/>
    <cellStyle name="s1104" xfId="1150"/>
    <cellStyle name="s1105" xfId="1151"/>
    <cellStyle name="s1106" xfId="1152"/>
    <cellStyle name="s1107" xfId="1153"/>
    <cellStyle name="s1108" xfId="1154"/>
    <cellStyle name="s1109" xfId="1155"/>
    <cellStyle name="s1110" xfId="1156"/>
    <cellStyle name="s1111" xfId="1157"/>
    <cellStyle name="s1112" xfId="1158"/>
    <cellStyle name="s1113" xfId="1159"/>
    <cellStyle name="s1114" xfId="1160"/>
    <cellStyle name="s1115" xfId="1161"/>
    <cellStyle name="s1116" xfId="1162"/>
    <cellStyle name="s1117" xfId="1163"/>
    <cellStyle name="s1118" xfId="1164"/>
    <cellStyle name="s1119" xfId="1165"/>
    <cellStyle name="s1120" xfId="1166"/>
    <cellStyle name="s1121" xfId="1167"/>
    <cellStyle name="s1122" xfId="1168"/>
    <cellStyle name="s1123" xfId="1169"/>
    <cellStyle name="s1124" xfId="1170"/>
    <cellStyle name="s1125" xfId="1171"/>
    <cellStyle name="s1126" xfId="1172"/>
    <cellStyle name="s1127" xfId="1173"/>
    <cellStyle name="s1128" xfId="1174"/>
    <cellStyle name="s1129" xfId="1175"/>
    <cellStyle name="s1130" xfId="1176"/>
    <cellStyle name="s1131" xfId="1177"/>
    <cellStyle name="s1132" xfId="1178"/>
    <cellStyle name="s1133" xfId="1179"/>
    <cellStyle name="s1134" xfId="1180"/>
    <cellStyle name="s1135" xfId="1181"/>
    <cellStyle name="s1136" xfId="1182"/>
    <cellStyle name="s1137" xfId="1183"/>
    <cellStyle name="s1138" xfId="1184"/>
    <cellStyle name="s1139" xfId="1185"/>
    <cellStyle name="s1140" xfId="1186"/>
    <cellStyle name="s1141" xfId="1187"/>
    <cellStyle name="s1142" xfId="1188"/>
    <cellStyle name="s1143" xfId="1189"/>
    <cellStyle name="s1144" xfId="1190"/>
    <cellStyle name="s1145" xfId="1191"/>
    <cellStyle name="s1146" xfId="1192"/>
    <cellStyle name="s1147" xfId="1193"/>
    <cellStyle name="s1148" xfId="1194"/>
    <cellStyle name="s1149" xfId="1195"/>
    <cellStyle name="s1150" xfId="1196"/>
    <cellStyle name="s1151" xfId="1197"/>
    <cellStyle name="s1152" xfId="1198"/>
    <cellStyle name="s1153" xfId="1199"/>
    <cellStyle name="s1154" xfId="1200"/>
    <cellStyle name="s1155" xfId="1201"/>
    <cellStyle name="s1156" xfId="1202"/>
    <cellStyle name="s1157" xfId="1203"/>
    <cellStyle name="s1158" xfId="1204"/>
    <cellStyle name="s1159" xfId="1205"/>
    <cellStyle name="s1160" xfId="1206"/>
    <cellStyle name="s1161" xfId="1207"/>
    <cellStyle name="s1162" xfId="1208"/>
    <cellStyle name="s1163" xfId="1209"/>
    <cellStyle name="s1164" xfId="1210"/>
    <cellStyle name="s1165" xfId="1211"/>
    <cellStyle name="s1166" xfId="1212"/>
    <cellStyle name="s1167" xfId="1213"/>
    <cellStyle name="s1168" xfId="1214"/>
    <cellStyle name="s1169" xfId="1215"/>
    <cellStyle name="s1170" xfId="1216"/>
    <cellStyle name="s1171" xfId="1217"/>
    <cellStyle name="s1172" xfId="1218"/>
    <cellStyle name="s1173" xfId="1219"/>
    <cellStyle name="s1174" xfId="1220"/>
    <cellStyle name="s1175" xfId="1221"/>
    <cellStyle name="s1176" xfId="1222"/>
    <cellStyle name="s1177" xfId="1223"/>
    <cellStyle name="s1178" xfId="1224"/>
    <cellStyle name="s1179" xfId="1225"/>
    <cellStyle name="s1180" xfId="1226"/>
    <cellStyle name="s1181" xfId="1227"/>
    <cellStyle name="s1182" xfId="1228"/>
    <cellStyle name="s1183" xfId="1229"/>
    <cellStyle name="s1184" xfId="1230"/>
    <cellStyle name="s1185" xfId="1231"/>
    <cellStyle name="s1186" xfId="1232"/>
    <cellStyle name="s1187" xfId="1233"/>
    <cellStyle name="s1188" xfId="1234"/>
    <cellStyle name="s1189" xfId="1235"/>
    <cellStyle name="s1190" xfId="1236"/>
    <cellStyle name="s1191" xfId="1237"/>
    <cellStyle name="s1192" xfId="1238"/>
    <cellStyle name="s1193" xfId="1239"/>
    <cellStyle name="s1194" xfId="1240"/>
    <cellStyle name="s1195" xfId="1241"/>
    <cellStyle name="s1196" xfId="1242"/>
    <cellStyle name="s1197" xfId="1243"/>
    <cellStyle name="s1198" xfId="1244"/>
    <cellStyle name="s1199" xfId="1245"/>
    <cellStyle name="s1200" xfId="1246"/>
    <cellStyle name="s1201" xfId="1247"/>
    <cellStyle name="s1202" xfId="1248"/>
    <cellStyle name="s1203" xfId="1249"/>
    <cellStyle name="s1204" xfId="1250"/>
    <cellStyle name="s1205" xfId="1251"/>
    <cellStyle name="s1206" xfId="1252"/>
    <cellStyle name="s1207" xfId="1253"/>
    <cellStyle name="s1208" xfId="1254"/>
    <cellStyle name="s1209" xfId="1255"/>
    <cellStyle name="s1210" xfId="1256"/>
    <cellStyle name="s1211" xfId="1257"/>
    <cellStyle name="s1212" xfId="1258"/>
    <cellStyle name="s1213" xfId="1259"/>
    <cellStyle name="s1214" xfId="1260"/>
    <cellStyle name="s1215" xfId="1261"/>
    <cellStyle name="s1216" xfId="1262"/>
    <cellStyle name="s1217" xfId="1263"/>
    <cellStyle name="s1218" xfId="1264"/>
    <cellStyle name="s1219" xfId="1265"/>
    <cellStyle name="s1220" xfId="1266"/>
    <cellStyle name="s1221" xfId="1267"/>
    <cellStyle name="s1222" xfId="1268"/>
    <cellStyle name="s1223" xfId="1269"/>
    <cellStyle name="s1224" xfId="1270"/>
    <cellStyle name="s1225" xfId="1271"/>
    <cellStyle name="s1226" xfId="1272"/>
    <cellStyle name="s1227" xfId="1273"/>
    <cellStyle name="s1228" xfId="1274"/>
    <cellStyle name="s1229" xfId="1275"/>
    <cellStyle name="s1230" xfId="1276"/>
    <cellStyle name="s1231" xfId="1277"/>
    <cellStyle name="s1232" xfId="1278"/>
    <cellStyle name="s1233" xfId="1279"/>
    <cellStyle name="s1234" xfId="1280"/>
    <cellStyle name="s1235" xfId="1281"/>
    <cellStyle name="s1236" xfId="1282"/>
    <cellStyle name="s1237" xfId="1283"/>
    <cellStyle name="s1238" xfId="1284"/>
    <cellStyle name="s1239" xfId="1285"/>
    <cellStyle name="s1240" xfId="1286"/>
    <cellStyle name="s1241" xfId="1287"/>
    <cellStyle name="s1242" xfId="1288"/>
    <cellStyle name="s1243" xfId="1289"/>
    <cellStyle name="s1244" xfId="1290"/>
    <cellStyle name="s1245" xfId="1291"/>
    <cellStyle name="s1246" xfId="1292"/>
    <cellStyle name="s1247" xfId="1293"/>
    <cellStyle name="s1248" xfId="1294"/>
    <cellStyle name="s1249" xfId="1295"/>
    <cellStyle name="s1250" xfId="1296"/>
    <cellStyle name="s1251" xfId="129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a9d9760-6f75-4165-8a99-fc8b509518bf" TargetMode="External"/><Relationship Id="rId2" Type="http://schemas.openxmlformats.org/officeDocument/2006/relationships/hyperlink" Target="https://portal.eias.ru/Portal/DownloadPage.aspx?type=12&amp;guid=ea9d9760-6f75-4165-8a99-fc8b509518bf" TargetMode="External"/><Relationship Id="rId3" Type="http://schemas.openxmlformats.org/officeDocument/2006/relationships/hyperlink" Target="https://portal.eias.ru/Portal/DownloadPage.aspx?type=12&amp;guid=ea9d9760-6f75-4165-8a99-fc8b509518bf" TargetMode="External"/><Relationship Id="rId4" Type="http://schemas.openxmlformats.org/officeDocument/2006/relationships/hyperlink" Target="https://portal.eias.ru/Portal/DownloadPage.aspx?type=12&amp;guid=ea9d9760-6f75-4165-8a99-fc8b509518bf" TargetMode="External"/><Relationship Id="rId5" Type="http://schemas.openxmlformats.org/officeDocument/2006/relationships/hyperlink" Target="https://portal.eias.ru/Portal/DownloadPage.aspx?type=12&amp;guid=ea9d9760-6f75-4165-8a99-fc8b509518bf" TargetMode="External"/><Relationship Id="rId6" Type="http://schemas.openxmlformats.org/officeDocument/2006/relationships/hyperlink" Target="https://portal.eias.ru/Portal/DownloadPage.aspx?type=12&amp;guid=ea9d9760-6f75-4165-8a99-fc8b509518bf" TargetMode="External"/><Relationship Id="rId7" Type="http://schemas.openxmlformats.org/officeDocument/2006/relationships/hyperlink" Target="https://portal.eias.ru/Portal/DownloadPage.aspx?type=12&amp;guid=ea9d9760-6f75-4165-8a99-fc8b509518bf" TargetMode="External"/><Relationship Id="rId8" Type="http://schemas.openxmlformats.org/officeDocument/2006/relationships/hyperlink" Target="https://portal.eias.ru/Portal/DownloadPage.aspx?type=12&amp;guid=ea9d9760-6f75-4165-8a99-fc8b509518bf" TargetMode="External"/><Relationship Id="rId9" Type="http://schemas.openxmlformats.org/officeDocument/2006/relationships/hyperlink" Target="https://portal.eias.ru/Portal/DownloadPage.aspx?type=12&amp;guid=ea9d9760-6f75-4165-8a99-fc8b509518bf"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fab97ec-cd62-4245-9099-9c8431903919" TargetMode="External"/><Relationship Id="rId2" Type="http://schemas.openxmlformats.org/officeDocument/2006/relationships/hyperlink" Target="https://portal.eias.ru/Portal/DownloadPage.aspx?type=12&amp;guid=5fab97ec-cd62-4245-9099-9c8431903919" TargetMode="External"/><Relationship Id="rId3" Type="http://schemas.openxmlformats.org/officeDocument/2006/relationships/hyperlink" Target="https://portal.eias.ru/Portal/DownloadPage.aspx?type=12&amp;guid=5fab97ec-cd62-4245-9099-9c8431903919" TargetMode="External"/><Relationship Id="rId4" Type="http://schemas.openxmlformats.org/officeDocument/2006/relationships/hyperlink" Target="https://portal.eias.ru/Portal/DownloadPage.aspx?type=12&amp;guid=5fab97ec-cd62-4245-9099-9c8431903919" TargetMode="External"/><Relationship Id="rId5" Type="http://schemas.openxmlformats.org/officeDocument/2006/relationships/hyperlink" Target="https://portal.eias.ru/Portal/DownloadPage.aspx?type=12&amp;guid=5fab97ec-cd62-4245-9099-9c8431903919" TargetMode="External"/><Relationship Id="rId6" Type="http://schemas.openxmlformats.org/officeDocument/2006/relationships/hyperlink" Target="https://portal.eias.ru/Portal/DownloadPage.aspx?type=12&amp;guid=5fab97ec-cd62-4245-9099-9c8431903919" TargetMode="External"/><Relationship Id="rId7" Type="http://schemas.openxmlformats.org/officeDocument/2006/relationships/hyperlink" Target="https://portal.eias.ru/Portal/DownloadPage.aspx?type=12&amp;guid=5fab97ec-cd62-4245-9099-9c8431903919" TargetMode="External"/><Relationship Id="rId8" Type="http://schemas.openxmlformats.org/officeDocument/2006/relationships/hyperlink" Target="https://portal.eias.ru/Portal/DownloadPage.aspx?type=12&amp;guid=5fab97ec-cd62-4245-9099-9c8431903919" TargetMode="External"/><Relationship Id="rId9" Type="http://schemas.openxmlformats.org/officeDocument/2006/relationships/hyperlink" Target="https://portal.eias.ru/Portal/DownloadPage.aspx?type=12&amp;guid=5fab97ec-cd62-4245-9099-9c8431903919" TargetMode="External"/><Relationship Id="rId10" Type="http://schemas.openxmlformats.org/officeDocument/2006/relationships/hyperlink" Target="https://portal.eias.ru/Portal/DownloadPage.aspx?type=12&amp;guid=5fab97ec-cd62-4245-9099-9c8431903919" TargetMode="External"/><Relationship Id="rId11" Type="http://schemas.openxmlformats.org/officeDocument/2006/relationships/hyperlink" Target="https://portal.eias.ru/Portal/DownloadPage.aspx?type=12&amp;guid=5fab97ec-cd62-4245-9099-9c8431903919" TargetMode="External"/><Relationship Id="rId12" Type="http://schemas.openxmlformats.org/officeDocument/2006/relationships/hyperlink" Target="https://portal.eias.ru/Portal/DownloadPage.aspx?type=12&amp;guid=5fab97ec-cd62-4245-9099-9c8431903919" TargetMode="External"/><Relationship Id="rId13" Type="http://schemas.openxmlformats.org/officeDocument/2006/relationships/hyperlink" Target="https://portal.eias.ru/Portal/DownloadPage.aspx?type=12&amp;guid=5fab97ec-cd62-4245-9099-9c8431903919" TargetMode="External"/><Relationship Id="rId14" Type="http://schemas.openxmlformats.org/officeDocument/2006/relationships/hyperlink" Target="https://portal.eias.ru/Portal/DownloadPage.aspx?type=12&amp;guid=5fab97ec-cd62-4245-9099-9c8431903919" TargetMode="External"/><Relationship Id="rId15" Type="http://schemas.openxmlformats.org/officeDocument/2006/relationships/hyperlink" Target="https://portal.eias.ru/Portal/DownloadPage.aspx?type=12&amp;guid=5fab97ec-cd62-4245-9099-9c8431903919" TargetMode="External"/><Relationship Id="rId16" Type="http://schemas.openxmlformats.org/officeDocument/2006/relationships/hyperlink" Target="https://portal.eias.ru/Portal/DownloadPage.aspx?type=12&amp;guid=5fab97ec-cd62-4245-9099-9c8431903919" TargetMode="External"/><Relationship Id="rId17" Type="http://schemas.openxmlformats.org/officeDocument/2006/relationships/hyperlink" Target="https://portal.eias.ru/Portal/DownloadPage.aspx?type=12&amp;guid=5fab97ec-cd62-4245-9099-9c8431903919" TargetMode="External"/><Relationship Id="rId18" Type="http://schemas.openxmlformats.org/officeDocument/2006/relationships/hyperlink" Target="https://portal.eias.ru/Portal/DownloadPage.aspx?type=12&amp;guid=5fab97ec-cd62-4245-9099-9c843190391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6C54F-7A87-250F-FDA8-0423E36C1BE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348" width="5.421875" customWidth="1"/>
    <col min="2" max="2" style="7348" width="9.140625" customWidth="1"/>
    <col min="3" max="3" style="7348" width="16.421875" customWidth="1"/>
    <col min="4" max="25" style="7348" width="6.28125" customWidth="1"/>
  </cols>
  <sheetData>
    <row customHeight="1" ht="15.75">
      <c r="AA1" s="48" t="s">
        <v>0</v>
      </c>
    </row>
    <row customHeight="1" ht="17.25">
      <c r="B2" s="3401" t="s">
        <v>1</v>
      </c>
    </row>
    <row customHeight="1" ht="15.75">
      <c r="B3" s="3402" t="s">
        <v>2</v>
      </c>
    </row>
    <row customHeight="1" ht="17.25"/>
    <row customHeight="1" ht="22.5">
      <c r="B5" s="340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3404"/>
      <c r="D5" s="3404"/>
      <c r="E5" s="3404"/>
      <c r="F5" s="3404"/>
      <c r="G5" s="3404"/>
      <c r="H5" s="3404"/>
      <c r="I5" s="3404"/>
      <c r="J5" s="3404"/>
      <c r="K5" s="3404"/>
      <c r="L5" s="3404"/>
      <c r="M5" s="3404"/>
      <c r="N5" s="3404"/>
      <c r="O5" s="3404"/>
      <c r="P5" s="3404"/>
      <c r="Q5" s="3404"/>
      <c r="R5" s="3404"/>
      <c r="S5" s="3404"/>
      <c r="T5" s="3404"/>
      <c r="U5" s="3404"/>
      <c r="V5" s="3404"/>
      <c r="W5" s="3404"/>
      <c r="X5" s="3404"/>
      <c r="Y5" s="3405"/>
    </row>
    <row customHeight="1" ht="15">
      <c r="B6" s="3406" t="s">
        <v>3</v>
      </c>
      <c r="C6" s="3407"/>
      <c r="Z6" s="3408"/>
    </row>
    <row customHeight="1" ht="15">
      <c r="B7" s="3406"/>
      <c r="C7" s="3407"/>
      <c r="Z7" s="3408"/>
    </row>
    <row customHeight="1" ht="15">
      <c r="B8" s="3406"/>
      <c r="C8" s="3407"/>
      <c r="E8" s="3409" t="s">
        <v>4</v>
      </c>
      <c r="F8" s="3410" t="s">
        <v>5</v>
      </c>
      <c r="O8" s="3411" t="s">
        <v>4</v>
      </c>
      <c r="P8" s="3412" t="s">
        <v>6</v>
      </c>
      <c r="Z8" s="3408"/>
    </row>
    <row customHeight="1" ht="15">
      <c r="B9" s="3406"/>
      <c r="C9" s="3407"/>
      <c r="E9" s="3413" t="s">
        <v>4</v>
      </c>
      <c r="F9" s="3410" t="s">
        <v>7</v>
      </c>
      <c r="O9" s="3414" t="s">
        <v>4</v>
      </c>
      <c r="P9" s="3412" t="s">
        <v>8</v>
      </c>
      <c r="Z9" s="3408"/>
    </row>
    <row customHeight="1" ht="30">
      <c r="B10" s="3406"/>
      <c r="C10" s="3415"/>
      <c r="D10" s="3416"/>
      <c r="E10" s="3417"/>
      <c r="O10" s="3417"/>
      <c r="Z10" s="3408"/>
    </row>
    <row customHeight="1" ht="19.5">
      <c r="B11" s="3418" t="s">
        <v>9</v>
      </c>
      <c r="C11" s="3419"/>
      <c r="Z11" s="3408"/>
    </row>
    <row customHeight="1" ht="69">
      <c r="B12" s="3406"/>
      <c r="C12" s="3415"/>
      <c r="D12" s="3420"/>
      <c r="E12" s="3421" t="s">
        <v>10</v>
      </c>
      <c r="Z12" s="3408"/>
    </row>
    <row customHeight="1" ht="15">
      <c r="B13" s="3418" t="s">
        <v>11</v>
      </c>
      <c r="C13" s="3419"/>
      <c r="Z13" s="3408"/>
    </row>
    <row customHeight="1" ht="57">
      <c r="B14" s="3406"/>
      <c r="C14" s="3407"/>
      <c r="E14" s="3422" t="s">
        <v>12</v>
      </c>
      <c r="Z14" s="3408"/>
    </row>
    <row customHeight="1" ht="16.5">
      <c r="B15" s="3423"/>
      <c r="C15" s="3424"/>
      <c r="D15" s="3425"/>
      <c r="E15" s="3426"/>
      <c r="F15" s="3426"/>
      <c r="G15" s="3426"/>
      <c r="H15" s="3426"/>
      <c r="I15" s="3426"/>
      <c r="J15" s="3426"/>
      <c r="K15" s="3426"/>
      <c r="L15" s="3426"/>
      <c r="M15" s="3426"/>
      <c r="N15" s="3426"/>
      <c r="O15" s="3426"/>
      <c r="P15" s="3426"/>
      <c r="Q15" s="3426"/>
      <c r="R15" s="3426"/>
      <c r="S15" s="3426"/>
      <c r="T15" s="3426"/>
      <c r="U15" s="3426"/>
      <c r="V15" s="3426"/>
      <c r="W15" s="3426"/>
      <c r="X15" s="3426"/>
      <c r="Y15" s="3427"/>
      <c r="Z15" s="3408"/>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5D52E5-127A-2162-54BE-625D2FD3AD2A}"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2" style="7348" width="10.7109375" hidden="1" customWidth="1"/>
    <col min="3" max="3" style="7348" width="3.00390625" customWidth="1"/>
    <col min="4" max="4" style="7348" width="1.00390625" customWidth="1"/>
    <col min="5" max="6" style="7348" width="55.00390625" customWidth="1"/>
    <col min="7" max="7" style="7348" width="1.00390625" customWidth="1"/>
    <col min="8" max="8" style="7348" width="18.00390625" hidden="1" customWidth="1"/>
    <col min="9" max="9" style="7348" width="59.00390625" customWidth="1"/>
    <col min="10" max="10" style="7348" width="52.140625" hidden="1" customWidth="1"/>
    <col min="11" max="11" style="7348" width="8.00390625" customWidth="1"/>
    <col min="12" max="12" style="7348" width="77.00390625" customWidth="1"/>
    <col min="13" max="16" style="7348" width="8.00390625" customWidth="1"/>
    <col min="17" max="17" style="7348" width="12.00390625" hidden="1" customWidth="1"/>
  </cols>
  <sheetData>
    <row customHeight="1" ht="3">
      <c r="F1" s="3428" t="s">
        <v>13</v>
      </c>
      <c r="Q1" s="3428" t="s">
        <v>14</v>
      </c>
    </row>
    <row customHeight="1" ht="14.25">
      <c r="E2" s="3429" t="str">
        <f>code</f>
        <v>Код отчёта: PP108.OPEN.INFO.BALANCE.HOTVSNA.EIAS</v>
      </c>
      <c r="Q2" s="3430">
        <v>14</v>
      </c>
    </row>
    <row customHeight="1" ht="14.699999999999998">
      <c r="E3" s="3431" t="str">
        <f>version</f>
        <v>Версия отчёта: 1.1.3</v>
      </c>
      <c r="Q3" s="3432">
        <v>14</v>
      </c>
    </row>
    <row customHeight="1" ht="6.3">
      <c r="D4" s="3433"/>
      <c r="Q4" s="3434">
        <v>6</v>
      </c>
    </row>
    <row customHeight="1" ht="39.75">
      <c r="D5" s="3435"/>
      <c r="E5" s="343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3437"/>
      <c r="G5" s="3438"/>
      <c r="Q5" s="3432">
        <v>38</v>
      </c>
    </row>
    <row customHeight="1" ht="6.3">
      <c r="D6" s="3433"/>
      <c r="E6" s="3439"/>
      <c r="F6" s="3440"/>
      <c r="G6" s="3438"/>
      <c r="Q6" s="3434">
        <v>6</v>
      </c>
    </row>
    <row customHeight="1" ht="21">
      <c r="D7" s="3435"/>
      <c r="E7" s="3441" t="s">
        <v>15</v>
      </c>
      <c r="F7" s="3442" t="s">
        <v>16</v>
      </c>
      <c r="G7" s="3438"/>
      <c r="Q7" s="3432">
        <v>20</v>
      </c>
    </row>
    <row customHeight="1" ht="6.3">
      <c r="A8" s="91"/>
      <c r="D8" s="3443"/>
      <c r="E8" s="3439"/>
      <c r="F8" s="3444"/>
      <c r="G8" s="3445"/>
      <c r="Q8" s="3434">
        <v>6</v>
      </c>
    </row>
    <row customHeight="1" ht="19.5" hidden="1">
      <c r="D9" s="3435"/>
      <c r="E9" s="3441" t="s">
        <v>17</v>
      </c>
      <c r="F9" s="3446"/>
      <c r="G9" s="3438"/>
      <c r="I9" s="3447" t="str">
        <f>IF(TITLE_STRUCTURE_INFO_ROIV="","","раскрывается "&amp;INDEX(ROIV_INFO_COMMENT,MATCH(TITLE_STRUCTURE_INFO_ROIV,ROIV_INFO_LIST,0)))</f>
        <v/>
      </c>
      <c r="Q9" s="3432">
        <v>0</v>
      </c>
    </row>
    <row customHeight="1" ht="24" hidden="1">
      <c r="A10" s="91"/>
      <c r="D10" s="3443"/>
      <c r="E10" s="3441" t="s">
        <v>18</v>
      </c>
      <c r="F10" s="97" t="s">
        <v>19</v>
      </c>
      <c r="G10" s="3445"/>
      <c r="Q10" s="3434">
        <v>24</v>
      </c>
    </row>
    <row customHeight="1" ht="22.5" hidden="1">
      <c r="A11" s="98" t="s">
        <v>20</v>
      </c>
      <c r="D11" s="3435"/>
      <c r="E11" s="3441" t="s">
        <v>21</v>
      </c>
      <c r="F11" s="99" t="s">
        <v>22</v>
      </c>
      <c r="G11" s="3445"/>
      <c r="H11" s="3448" t="s">
        <v>23</v>
      </c>
      <c r="J11" s="3449" t="s">
        <v>24</v>
      </c>
      <c r="Q11" s="3432">
        <v>0</v>
      </c>
    </row>
    <row customHeight="1" ht="22.5" hidden="1">
      <c r="A12" s="98"/>
      <c r="D12" s="3435"/>
      <c r="E12" s="3441" t="s">
        <v>25</v>
      </c>
      <c r="F12" s="99"/>
      <c r="G12" s="3450"/>
      <c r="J12" s="3449" t="s">
        <v>26</v>
      </c>
      <c r="Q12" s="3432">
        <v>0</v>
      </c>
    </row>
    <row customHeight="1" ht="22.5" hidden="1">
      <c r="A13" s="103" t="s">
        <v>27</v>
      </c>
      <c r="D13" s="3435"/>
      <c r="E13" s="104" t="s">
        <v>28</v>
      </c>
      <c r="F13" s="99" t="s">
        <v>22</v>
      </c>
      <c r="G13" s="3445"/>
      <c r="J13" s="105" t="s">
        <v>29</v>
      </c>
      <c r="Q13" s="3432">
        <v>0</v>
      </c>
    </row>
    <row customHeight="1" ht="27">
      <c r="A14" s="103" t="s">
        <v>30</v>
      </c>
      <c r="D14" s="3435"/>
      <c r="E14" s="3441" t="s">
        <v>31</v>
      </c>
      <c r="F14" s="3451">
        <v>2023</v>
      </c>
      <c r="G14" s="3445"/>
      <c r="J14" s="3449" t="s">
        <v>32</v>
      </c>
      <c r="Q14" s="3432">
        <v>0</v>
      </c>
    </row>
    <row customHeight="1" ht="19.5" hidden="1">
      <c r="A15" s="103" t="s">
        <v>33</v>
      </c>
      <c r="D15" s="3435"/>
      <c r="E15" s="3441" t="s">
        <v>34</v>
      </c>
      <c r="F15" s="3451"/>
      <c r="G15" s="3445"/>
      <c r="J15" s="3449" t="s">
        <v>35</v>
      </c>
      <c r="Q15" s="3432">
        <v>0</v>
      </c>
    </row>
    <row customHeight="1" ht="6.3">
      <c r="A16" s="91"/>
      <c r="D16" s="3443"/>
      <c r="E16" s="3439"/>
      <c r="F16" s="3444"/>
      <c r="G16" s="3445"/>
      <c r="Q16" s="3434">
        <v>6</v>
      </c>
    </row>
    <row customHeight="1" ht="21">
      <c r="D17" s="3435"/>
      <c r="E17" s="3441" t="s">
        <v>36</v>
      </c>
      <c r="F17" s="107" t="s">
        <v>37</v>
      </c>
      <c r="G17" s="3450"/>
      <c r="H17" s="3448" t="s">
        <v>23</v>
      </c>
      <c r="Q17" s="3432">
        <v>20</v>
      </c>
    </row>
    <row customHeight="1" ht="25.5" hidden="1">
      <c r="D18" s="3435"/>
      <c r="E18" s="104" t="s">
        <v>38</v>
      </c>
      <c r="F18" s="108"/>
      <c r="G18" s="3450"/>
      <c r="I18" s="3452"/>
      <c r="J18" s="3453" t="s">
        <v>39</v>
      </c>
      <c r="Q18" s="3432">
        <v>0</v>
      </c>
    </row>
    <row customHeight="1" ht="25.5" hidden="1">
      <c r="D19" s="3435"/>
      <c r="E19" s="344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08"/>
      <c r="G19" s="3450"/>
      <c r="I19" s="3452"/>
      <c r="Q19" s="3432">
        <v>0</v>
      </c>
    </row>
    <row customHeight="1" ht="22.5" hidden="1">
      <c r="D20" s="3435"/>
      <c r="E20" s="3454"/>
      <c r="F20" s="3455" t="str">
        <f>"Первичное "&amp;IF(TEMPLATE_GROUP="P","установление тарифов","предложение по тарифам")</f>
        <v>Первичное предложение по тарифам</v>
      </c>
      <c r="G20" s="3450"/>
      <c r="I20" s="3445"/>
      <c r="J20" s="3456" t="s">
        <v>40</v>
      </c>
      <c r="Q20" s="3432">
        <v>0</v>
      </c>
    </row>
    <row customHeight="1" ht="19.5" hidden="1">
      <c r="D21" s="3435"/>
      <c r="E21" s="3441" t="str">
        <f>"Дата "&amp;IF(TEMPLATE_GROUP="P","документа","подачи заявления")&amp;" об утверждении тарифов"</f>
        <v>Дата подачи заявления об утверждении тарифов</v>
      </c>
      <c r="F21" s="99"/>
      <c r="G21" s="3450"/>
      <c r="I21" s="3457"/>
      <c r="Q21" s="3432">
        <v>0</v>
      </c>
    </row>
    <row customHeight="1" ht="19.5" hidden="1">
      <c r="D22" s="3435"/>
      <c r="E22" s="3441" t="str">
        <f>"Номер "&amp;IF(TEMPLATE_GROUP="P","документа","подачи заявления")&amp;" об утверждении тарифов"</f>
        <v>Номер подачи заявления об утверждении тарифов</v>
      </c>
      <c r="F22" s="107"/>
      <c r="G22" s="3450"/>
      <c r="I22" s="3457"/>
      <c r="Q22" s="3432">
        <v>0</v>
      </c>
    </row>
    <row customHeight="1" ht="22.5" hidden="1">
      <c r="D23" s="3435"/>
      <c r="E23" s="3441" t="s">
        <v>41</v>
      </c>
      <c r="F23" s="107"/>
      <c r="G23" s="3450"/>
      <c r="Q23" s="3432">
        <v>0</v>
      </c>
    </row>
    <row customHeight="1" ht="19.5" hidden="1">
      <c r="D24" s="3435"/>
      <c r="E24" s="3441" t="s">
        <v>42</v>
      </c>
      <c r="F24" s="107"/>
      <c r="G24" s="3450"/>
      <c r="Q24" s="3432">
        <v>0</v>
      </c>
    </row>
    <row customHeight="1" ht="22.5" hidden="1">
      <c r="D25" s="3435"/>
      <c r="E25" s="3454"/>
      <c r="F25" s="3455" t="str">
        <f>"Изменение "&amp;IF(TEMPLATE_GROUP="P","тарифов","предложения по тарифам")</f>
        <v>Изменение предложения по тарифам</v>
      </c>
      <c r="G25" s="3450"/>
      <c r="J25" s="3456" t="s">
        <v>43</v>
      </c>
      <c r="Q25" s="3432">
        <v>0</v>
      </c>
    </row>
    <row customHeight="1" ht="19.5" hidden="1">
      <c r="D26" s="3435"/>
      <c r="E26" s="3441" t="str">
        <f>"Дата "&amp;IF(TEMPLATE_GROUP="P","принятия решения","подачи заявления")&amp;" об изменении тарифов"</f>
        <v>Дата подачи заявления об изменении тарифов</v>
      </c>
      <c r="F26" s="108"/>
      <c r="G26" s="3450"/>
      <c r="Q26" s="3432">
        <v>0</v>
      </c>
    </row>
    <row customHeight="1" ht="19.5" hidden="1">
      <c r="D27" s="3435"/>
      <c r="E27" s="3441" t="str">
        <f>"Номер "&amp;IF(TEMPLATE_GROUP="P","принятия решения","заявления")&amp;" об изменении тарифов"</f>
        <v>Номер заявления об изменении тарифов</v>
      </c>
      <c r="F27" s="115"/>
      <c r="G27" s="3450"/>
      <c r="Q27" s="3432">
        <v>0</v>
      </c>
    </row>
    <row customHeight="1" ht="24.75" hidden="1">
      <c r="D28" s="3435"/>
      <c r="E28" s="3441" t="s">
        <v>44</v>
      </c>
      <c r="F28" s="115"/>
      <c r="G28" s="3450"/>
      <c r="Q28" s="3432">
        <v>0</v>
      </c>
    </row>
    <row customHeight="1" ht="19.5" hidden="1">
      <c r="D29" s="3435"/>
      <c r="E29" s="3441" t="s">
        <v>42</v>
      </c>
      <c r="F29" s="115"/>
      <c r="G29" s="3450"/>
      <c r="Q29" s="3432">
        <v>0</v>
      </c>
    </row>
    <row customHeight="1" ht="6.3">
      <c r="A30" s="91"/>
      <c r="D30" s="3443"/>
      <c r="E30" s="3439"/>
      <c r="F30" s="3444"/>
      <c r="G30" s="3445"/>
      <c r="Q30" s="3434">
        <v>6</v>
      </c>
    </row>
    <row customHeight="1" ht="21">
      <c r="D31" s="3458"/>
      <c r="E31" s="3441" t="str">
        <f>"Наименование "&amp;IF(TEMPLATE_GROUP="ROIV","органа тарифного регулирования","ЮЛ / ИП")</f>
        <v>Наименование ЮЛ / ИП</v>
      </c>
      <c r="F31" s="117" t="s">
        <v>45</v>
      </c>
      <c r="G31" s="118"/>
      <c r="Q31" s="3432">
        <v>20</v>
      </c>
    </row>
    <row customHeight="1" ht="21" hidden="1">
      <c r="D32" s="3458"/>
      <c r="E32" s="3459" t="s">
        <v>46</v>
      </c>
      <c r="F32" s="117"/>
      <c r="G32" s="118"/>
      <c r="Q32" s="3432">
        <v>20</v>
      </c>
    </row>
    <row customHeight="1" ht="21">
      <c r="D33" s="3458"/>
      <c r="E33" s="3441" t="s">
        <v>47</v>
      </c>
      <c r="F33" s="117" t="s">
        <v>48</v>
      </c>
      <c r="G33" s="118"/>
      <c r="Q33" s="3432">
        <v>20</v>
      </c>
    </row>
    <row customHeight="1" ht="21">
      <c r="D34" s="3458"/>
      <c r="E34" s="3441" t="s">
        <v>49</v>
      </c>
      <c r="F34" s="117" t="s">
        <v>50</v>
      </c>
      <c r="G34" s="118"/>
      <c r="Q34" s="3432">
        <v>20</v>
      </c>
    </row>
    <row customHeight="1" ht="11.549999999999999">
      <c r="A35" s="91"/>
      <c r="D35" s="3443"/>
      <c r="E35" s="3439"/>
      <c r="F35" s="3444"/>
      <c r="G35" s="3445"/>
      <c r="Q35" s="3434">
        <v>11</v>
      </c>
    </row>
    <row customHeight="1" ht="19.5" hidden="1">
      <c r="A36" s="120"/>
      <c r="D36" s="3458"/>
      <c r="E36" s="3441" t="s">
        <v>51</v>
      </c>
      <c r="F36" s="3460"/>
      <c r="G36" s="3445"/>
      <c r="Q36" s="3432">
        <v>0</v>
      </c>
    </row>
    <row customHeight="1" ht="21">
      <c r="A37" s="120"/>
      <c r="D37" s="3458"/>
      <c r="E37" s="3441" t="s">
        <v>52</v>
      </c>
      <c r="F37" s="3460" t="s">
        <v>53</v>
      </c>
      <c r="G37" s="3445"/>
      <c r="Q37" s="3432">
        <v>20</v>
      </c>
    </row>
    <row customHeight="1" ht="6.3">
      <c r="A38" s="91"/>
      <c r="D38" s="3433"/>
      <c r="E38" s="3461"/>
      <c r="F38" s="3462"/>
      <c r="G38" s="3450"/>
      <c r="Q38" s="3434">
        <v>6</v>
      </c>
    </row>
    <row customHeight="1" ht="36.75">
      <c r="A39" s="91"/>
      <c r="D39" s="3435"/>
      <c r="E39" s="3441" t="s">
        <v>54</v>
      </c>
      <c r="F39" s="97" t="s">
        <v>19</v>
      </c>
      <c r="G39" s="3450"/>
      <c r="H39" s="3448" t="s">
        <v>23</v>
      </c>
      <c r="Q39" s="3432">
        <v>35</v>
      </c>
    </row>
    <row customHeight="1" ht="6" hidden="1">
      <c r="D40" s="3433"/>
      <c r="E40" s="3461"/>
      <c r="F40" s="3462"/>
      <c r="G40" s="3450"/>
      <c r="Q40" s="3434">
        <v>6</v>
      </c>
    </row>
    <row customHeight="1" ht="26.25" hidden="1">
      <c r="A41" s="103" t="s">
        <v>27</v>
      </c>
      <c r="D41" s="3435"/>
      <c r="E41" s="344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7" t="s">
        <v>19</v>
      </c>
      <c r="G41" s="3450"/>
      <c r="Q41" s="3432">
        <v>0</v>
      </c>
    </row>
    <row customHeight="1" ht="6" hidden="1">
      <c r="D42" s="3433"/>
      <c r="E42" s="3461"/>
      <c r="F42" s="3462"/>
      <c r="G42" s="3450"/>
      <c r="Q42" s="3434">
        <v>0</v>
      </c>
    </row>
    <row customHeight="1" ht="27" hidden="1">
      <c r="D43" s="3435"/>
      <c r="E43" s="3441" t="s">
        <v>55</v>
      </c>
      <c r="F43" s="97" t="s">
        <v>19</v>
      </c>
      <c r="G43" s="3450"/>
      <c r="Q43" s="3432">
        <v>0</v>
      </c>
    </row>
    <row customHeight="1" ht="27" hidden="1">
      <c r="D44" s="3435"/>
      <c r="E44" s="3441" t="s">
        <v>56</v>
      </c>
      <c r="F44" s="124"/>
      <c r="G44" s="3450"/>
      <c r="Q44" s="3432">
        <v>0</v>
      </c>
    </row>
    <row customHeight="1" ht="6" hidden="1">
      <c r="D45" s="3433"/>
      <c r="E45" s="3461"/>
      <c r="F45" s="3462"/>
      <c r="G45" s="3450"/>
      <c r="Q45" s="3434">
        <v>0</v>
      </c>
    </row>
    <row customHeight="1" ht="24.75" hidden="1">
      <c r="D46" s="3433"/>
      <c r="E46" s="3441" t="s">
        <v>57</v>
      </c>
      <c r="F46" s="97" t="s">
        <v>19</v>
      </c>
      <c r="G46" s="3450"/>
      <c r="Q46" s="3434">
        <v>0</v>
      </c>
    </row>
    <row customHeight="1" ht="24.75" hidden="1">
      <c r="D47" s="3435"/>
      <c r="E47" s="3441" t="s">
        <v>58</v>
      </c>
      <c r="F47" s="97" t="s">
        <v>19</v>
      </c>
      <c r="G47" s="3450"/>
      <c r="Q47" s="3432">
        <v>0</v>
      </c>
    </row>
    <row customHeight="1" ht="6" hidden="1">
      <c r="D48" s="3433"/>
      <c r="E48" s="3461"/>
      <c r="F48" s="3462"/>
      <c r="G48" s="3450"/>
      <c r="Q48" s="3434">
        <v>0</v>
      </c>
    </row>
    <row customHeight="1" ht="29.25" hidden="1">
      <c r="D49" s="3435"/>
      <c r="E49" s="344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7"/>
      <c r="G49" s="3450"/>
      <c r="Q49" s="3432">
        <v>0</v>
      </c>
    </row>
    <row customHeight="1" ht="6">
      <c r="A50" s="91"/>
      <c r="D50" s="3443"/>
      <c r="E50" s="3439"/>
      <c r="F50" s="3444"/>
      <c r="G50" s="3445"/>
      <c r="Q50" s="3434">
        <v>0</v>
      </c>
    </row>
    <row customHeight="1" ht="28.5">
      <c r="E51" s="3441" t="s">
        <v>59</v>
      </c>
      <c r="F51" s="97" t="s">
        <v>19</v>
      </c>
      <c r="Q51" s="3432">
        <v>0</v>
      </c>
    </row>
    <row customHeight="1" ht="6">
      <c r="A52" s="91"/>
      <c r="D52" s="3443"/>
      <c r="E52" s="3439"/>
      <c r="F52" s="3444"/>
      <c r="G52" s="3445"/>
      <c r="Q52" s="3434">
        <v>0</v>
      </c>
    </row>
    <row customHeight="1" ht="27">
      <c r="E53" s="3441" t="s">
        <v>60</v>
      </c>
      <c r="F53" s="3463" t="s">
        <v>61</v>
      </c>
      <c r="Q53" s="3432">
        <v>0</v>
      </c>
    </row>
    <row customHeight="1" ht="27">
      <c r="E54" s="3441" t="s">
        <v>62</v>
      </c>
      <c r="F54" s="126">
        <v>45380</v>
      </c>
      <c r="Q54" s="3432">
        <v>0</v>
      </c>
    </row>
    <row customHeight="1" ht="6">
      <c r="A55" s="91"/>
      <c r="D55" s="3443"/>
      <c r="E55" s="3439"/>
      <c r="F55" s="3444"/>
      <c r="G55" s="3445"/>
      <c r="Q55" s="3434">
        <v>0</v>
      </c>
    </row>
    <row customHeight="1" ht="25.5">
      <c r="E56" s="3441" t="s">
        <v>63</v>
      </c>
      <c r="F56" s="3463" t="s">
        <v>61</v>
      </c>
      <c r="Q56" s="3432">
        <v>0</v>
      </c>
    </row>
    <row customHeight="1" ht="6">
      <c r="A57" s="91"/>
      <c r="D57" s="3443"/>
      <c r="E57" s="3439"/>
      <c r="F57" s="3444"/>
      <c r="G57" s="3445"/>
      <c r="Q57" s="3434">
        <v>0</v>
      </c>
    </row>
    <row customHeight="1" ht="15">
      <c r="E58" s="3441" t="s">
        <v>64</v>
      </c>
      <c r="F58" s="3463" t="s">
        <v>19</v>
      </c>
      <c r="Q58" s="3432">
        <v>0</v>
      </c>
    </row>
    <row customHeight="1" ht="75" hidden="1">
      <c r="E59" s="344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3463" t="str">
        <f>F58</f>
        <v>нет</v>
      </c>
      <c r="Q59" s="3432">
        <v>0</v>
      </c>
    </row>
    <row customHeight="1" ht="15" hidden="1">
      <c r="E60" s="3441" t="s">
        <v>65</v>
      </c>
      <c r="F60" s="3464" t="str">
        <f>F59</f>
        <v>нет</v>
      </c>
      <c r="Q60" s="3432">
        <v>0</v>
      </c>
    </row>
    <row customHeight="1" ht="6" hidden="1">
      <c r="A61" s="91"/>
      <c r="D61" s="3433"/>
      <c r="E61" s="3461"/>
      <c r="F61" s="3462"/>
      <c r="G61" s="3450"/>
      <c r="Q61" s="3434">
        <v>0</v>
      </c>
    </row>
    <row customHeight="1" ht="33.75" hidden="1">
      <c r="A62" s="91"/>
      <c r="D62" s="3435"/>
      <c r="E62" s="3441" t="s">
        <v>66</v>
      </c>
      <c r="F62" s="97" t="s">
        <v>61</v>
      </c>
      <c r="G62" s="3450"/>
      <c r="H62" s="3448" t="s">
        <v>23</v>
      </c>
      <c r="Q62" s="3432">
        <v>0</v>
      </c>
    </row>
    <row customHeight="1" ht="6.3">
      <c r="A63" s="91"/>
      <c r="D63" s="3443"/>
      <c r="E63" s="3439"/>
      <c r="F63" s="3444"/>
      <c r="G63" s="3445"/>
      <c r="Q63" s="3434">
        <v>6</v>
      </c>
    </row>
    <row customHeight="1" ht="21">
      <c r="D64" s="128"/>
      <c r="E64" s="3441" t="s">
        <v>67</v>
      </c>
      <c r="F64" s="107" t="s">
        <v>68</v>
      </c>
      <c r="G64" s="3445"/>
      <c r="Q64" s="3432">
        <v>20</v>
      </c>
    </row>
    <row customHeight="1" ht="21">
      <c r="D65" s="128"/>
      <c r="E65" s="3441" t="s">
        <v>69</v>
      </c>
      <c r="F65" s="107" t="s">
        <v>70</v>
      </c>
      <c r="G65" s="3445"/>
      <c r="Q65" s="3432">
        <v>20</v>
      </c>
    </row>
    <row customHeight="1" ht="36.75">
      <c r="D66" s="3435"/>
      <c r="E66" s="3465" t="s">
        <v>71</v>
      </c>
      <c r="G66" s="3450"/>
      <c r="Q66" s="3432">
        <v>35</v>
      </c>
    </row>
    <row customHeight="1" ht="21">
      <c r="D67" s="3435"/>
      <c r="E67" s="3441" t="s">
        <v>72</v>
      </c>
      <c r="F67" s="107" t="s">
        <v>73</v>
      </c>
      <c r="G67" s="3445"/>
      <c r="Q67" s="3432">
        <v>20</v>
      </c>
    </row>
    <row customHeight="1" ht="21">
      <c r="D68" s="128"/>
      <c r="E68" s="3441" t="s">
        <v>74</v>
      </c>
      <c r="F68" s="107" t="s">
        <v>75</v>
      </c>
      <c r="G68" s="3445"/>
      <c r="Q68" s="3432">
        <v>20</v>
      </c>
    </row>
    <row customHeight="1" ht="21">
      <c r="D69" s="128"/>
      <c r="E69" s="3441" t="s">
        <v>76</v>
      </c>
      <c r="F69" s="107" t="s">
        <v>77</v>
      </c>
      <c r="G69" s="3445"/>
      <c r="Q69" s="3432">
        <v>20</v>
      </c>
    </row>
    <row customHeight="1" ht="21">
      <c r="D70" s="3435"/>
      <c r="E70" s="3441" t="s">
        <v>78</v>
      </c>
      <c r="F70" s="130" t="s">
        <v>79</v>
      </c>
      <c r="G70" s="3450"/>
      <c r="Q70" s="3432">
        <v>20</v>
      </c>
    </row>
    <row customHeight="1" ht="21">
      <c r="D71" s="3450"/>
      <c r="G71" s="3445"/>
      <c r="Q71" s="3432">
        <v>20</v>
      </c>
    </row>
    <row customHeight="1" ht="21">
      <c r="D72" s="128"/>
      <c r="E72" s="131"/>
      <c r="F72" s="132" t="s">
        <v>13</v>
      </c>
      <c r="G72" s="3445"/>
      <c r="Q72" s="3432">
        <v>20</v>
      </c>
    </row>
    <row customHeight="1" ht="21">
      <c r="D73" s="128"/>
      <c r="E73" s="131"/>
      <c r="G73" s="3445"/>
      <c r="Q73" s="3432">
        <v>20</v>
      </c>
    </row>
    <row customHeight="1" ht="21">
      <c r="D74" s="128"/>
      <c r="E74" s="133"/>
      <c r="G74" s="3445"/>
      <c r="Q74" s="3432">
        <v>20</v>
      </c>
    </row>
    <row customHeight="1" ht="21">
      <c r="D75" s="128"/>
      <c r="E75" s="131"/>
      <c r="G75" s="3445"/>
      <c r="Q75" s="3432">
        <v>20</v>
      </c>
    </row>
    <row customHeight="1" ht="11.549999999999999">
      <c r="Q76" s="3432">
        <v>11</v>
      </c>
    </row>
    <row customHeight="1" ht="11.549999999999999">
      <c r="Q77" s="3432">
        <v>11</v>
      </c>
    </row>
    <row customHeight="1" ht="11.549999999999999">
      <c r="Q78" s="3432">
        <v>11</v>
      </c>
    </row>
    <row customHeight="1" ht="11.25" hidden="1">
      <c r="A79" s="3466" t="s">
        <v>80</v>
      </c>
      <c r="B79" s="3467">
        <v>0</v>
      </c>
      <c r="C79" s="3468">
        <v>3</v>
      </c>
      <c r="D79" s="3432">
        <v>1</v>
      </c>
      <c r="E79" s="3432">
        <v>55</v>
      </c>
      <c r="F79" s="3432">
        <v>54</v>
      </c>
      <c r="G79" s="3455">
        <v>1</v>
      </c>
      <c r="H79" s="3432">
        <v>0</v>
      </c>
      <c r="I79" s="3469">
        <v>59</v>
      </c>
      <c r="J79" s="3449">
        <v>0</v>
      </c>
      <c r="K79" s="3432">
        <v>8</v>
      </c>
      <c r="L79" s="3432">
        <v>77</v>
      </c>
      <c r="M79" s="3432">
        <v>8</v>
      </c>
      <c r="N79" s="3432">
        <v>8</v>
      </c>
      <c r="O79" s="3432">
        <v>8</v>
      </c>
      <c r="P79" s="3432">
        <v>8</v>
      </c>
      <c r="Q79" s="3432">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901713-73DD-160E-1C27-086BCA7AD454}"/>
    <hyperlink ref="H17" location="Титульный!H9" display="Как заполнить?" tooltip="Помощь по работе с полями отчётной формы" xr:uid="{62E7DF52-0095-11B6-DECE-217533039B88}"/>
    <hyperlink ref="H39" location="Титульный!H9" display="Как заполнить?" tooltip="Помощь по работе с полями отчётной формы" xr:uid="{593E6C63-0AB7-0BD3-6E06-29F14F3C5A8B}"/>
    <hyperlink ref="H62" location="Титульный!H9" display="Как заполнить?" tooltip="Помощь по работе с полями отчётной формы" xr:uid="{0852670F-0743-10D9-507B-9FFC6D4B9318}"/>
    <hyperlink ref="F70" r:id="rId4" xr:uid="{2C64CF35-0898-589C-8F84-BE1C17B1E88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74D92-D66E-E659-2A42-82163B77FF7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7348" width="8.00390625" hidden="1" customWidth="1"/>
    <col min="2" max="2" style="7348" width="6.00390625" hidden="1" customWidth="1"/>
    <col min="3" max="4" style="7348" width="3.00390625" customWidth="1"/>
    <col min="5" max="5" style="7348" width="6.00390625" customWidth="1"/>
    <col min="6" max="6" style="7348" width="2.7109375" hidden="1" customWidth="1"/>
    <col min="7" max="7" style="7348" width="46.7109375" customWidth="1"/>
    <col min="8" max="8" style="7348" width="42.00390625" customWidth="1"/>
    <col min="9" max="9" style="7348" width="14.00390625" customWidth="1"/>
    <col min="10" max="10" style="7348" width="3.00390625" customWidth="1"/>
    <col min="11" max="13" style="7348" width="9.140625" hidden="1"/>
    <col min="14" max="14" style="7348" width="25.7109375" hidden="1" customWidth="1"/>
    <col min="15" max="15" style="7348" width="14.421875" hidden="1" customWidth="1"/>
    <col min="16" max="27" style="7348" width="9.140625" hidden="1"/>
    <col min="28" max="28" style="7348" width="8.00390625" customWidth="1"/>
    <col min="29" max="29" style="7348" width="9.140625" hidden="1"/>
  </cols>
  <sheetData>
    <row customHeight="1" ht="5.25" hidden="1">
      <c r="G1" s="3470" t="s">
        <v>81</v>
      </c>
      <c r="H1" s="3471" t="s">
        <v>82</v>
      </c>
      <c r="I1" s="3472" t="s">
        <v>83</v>
      </c>
      <c r="J1" s="3470" t="s">
        <v>81</v>
      </c>
      <c r="AC1" s="3473" t="s">
        <v>14</v>
      </c>
    </row>
    <row customHeight="1" ht="11.25">
      <c r="AC2" s="3474">
        <v>11</v>
      </c>
    </row>
    <row customHeight="1" ht="3">
      <c r="AC3" s="3475">
        <v>3</v>
      </c>
    </row>
    <row customHeight="1" ht="27.299999999999997">
      <c r="E4" s="3476" t="str">
        <f>NameTemplatesInListMO</f>
        <v>Перечень муниципальных районов и муниципальных образований (территорий оказания услуг)</v>
      </c>
      <c r="F4" s="3476"/>
      <c r="G4" s="3476"/>
      <c r="H4" s="3476"/>
      <c r="I4" s="3476"/>
      <c r="AC4" s="3475">
        <v>26</v>
      </c>
    </row>
    <row customHeight="1" ht="3">
      <c r="AC5" s="3475">
        <v>3</v>
      </c>
    </row>
    <row customHeight="1" ht="20.25" hidden="1">
      <c r="AC6" s="3475">
        <v>0</v>
      </c>
    </row>
    <row customHeight="1" ht="25.5" hidden="1">
      <c r="AC7" s="3432">
        <v>0</v>
      </c>
    </row>
    <row customHeight="1" ht="14.699999999999998">
      <c r="E8" s="3437" t="s">
        <v>84</v>
      </c>
      <c r="F8" s="3477"/>
      <c r="G8" s="3436"/>
      <c r="H8" s="146" t="s">
        <v>85</v>
      </c>
      <c r="I8" s="146"/>
      <c r="AC8" s="3475">
        <v>14</v>
      </c>
    </row>
    <row customHeight="1" ht="21">
      <c r="E9" s="147" t="s">
        <v>86</v>
      </c>
      <c r="F9" s="147"/>
      <c r="G9" s="148" t="s">
        <v>87</v>
      </c>
      <c r="H9" s="148" t="s">
        <v>87</v>
      </c>
      <c r="I9" s="148" t="s">
        <v>83</v>
      </c>
      <c r="AC9" s="3475">
        <v>20</v>
      </c>
    </row>
    <row customHeight="1" ht="11.549999999999999">
      <c r="E10" s="149" t="s">
        <v>88</v>
      </c>
      <c r="F10" s="149"/>
      <c r="G10" s="149" t="s">
        <v>89</v>
      </c>
      <c r="H10" s="149" t="s">
        <v>90</v>
      </c>
      <c r="I10" s="149" t="s">
        <v>91</v>
      </c>
      <c r="AC10" s="3432">
        <v>11</v>
      </c>
    </row>
    <row customHeight="1" ht="1.05">
      <c r="E11" s="150"/>
      <c r="F11" s="150"/>
      <c r="G11" s="151"/>
      <c r="H11" s="151"/>
      <c r="I11" s="152"/>
      <c r="J11" s="3478" t="s">
        <v>92</v>
      </c>
      <c r="M11" s="3479" t="s">
        <v>93</v>
      </c>
      <c r="N11" s="3479" t="s">
        <v>94</v>
      </c>
      <c r="O11" s="3479" t="s">
        <v>95</v>
      </c>
      <c r="AC11" s="3475">
        <v>1</v>
      </c>
    </row>
    <row customHeight="1" ht="15">
      <c r="A12" s="3455">
        <v>1</v>
      </c>
      <c r="E12" s="3480">
        <f>A12</f>
        <v>1</v>
      </c>
      <c r="F12" s="3481" t="s">
        <v>96</v>
      </c>
      <c r="G12" s="157" t="str">
        <f>"Территория "&amp;E12</f>
        <v>Территория 1</v>
      </c>
      <c r="H12" s="158"/>
      <c r="I12" s="158"/>
      <c r="AC12" s="3475">
        <v>14</v>
      </c>
    </row>
    <row customHeight="1" ht="15.75">
      <c r="B13" s="3449">
        <v>1</v>
      </c>
      <c r="D13" s="3482"/>
      <c r="E13" s="3483" t="str">
        <f>A12&amp;"."&amp;B13</f>
        <v>1.1</v>
      </c>
      <c r="F13" s="3484" t="s">
        <v>97</v>
      </c>
      <c r="G13" s="162" t="s">
        <v>98</v>
      </c>
      <c r="H13" s="162" t="s">
        <v>98</v>
      </c>
      <c r="I13" s="163" t="s">
        <v>99</v>
      </c>
      <c r="J13" s="3479">
        <f>MERGEVALUE(G13)</f>
      </c>
      <c r="M13" s="3479" t="str">
        <f t="array" ref="M13:M13">IF(ISERROR(MATCH(MID(N13,1,250),MID(note_ter,1,250),0)),"n","y")</f>
        <v>n</v>
      </c>
      <c r="O13" s="3479" t="str">
        <f>H13&amp;"("&amp;I13&amp;")"</f>
        <v>Город Саратов(63701000)</v>
      </c>
      <c r="AC13" s="164">
        <v>15</v>
      </c>
    </row>
    <row customHeight="1" ht="15.75">
      <c r="E14" s="165"/>
      <c r="F14" s="166"/>
      <c r="G14" s="167" t="s">
        <v>100</v>
      </c>
      <c r="H14" s="168"/>
      <c r="I14" s="169"/>
      <c r="AC14" s="164">
        <v>15</v>
      </c>
    </row>
    <row customHeight="1" ht="14.699999999999998">
      <c r="E15" s="170"/>
      <c r="F15" s="171"/>
      <c r="G15" s="172" t="s">
        <v>101</v>
      </c>
      <c r="H15" s="171"/>
      <c r="I15" s="173"/>
      <c r="J15" s="3478"/>
      <c r="N15" s="3479" t="s">
        <v>102</v>
      </c>
      <c r="AC15" s="3475">
        <v>14</v>
      </c>
    </row>
    <row customHeight="1" ht="22.049999999999997">
      <c r="E16" s="3485"/>
      <c r="F16" s="3485"/>
      <c r="G16" s="3485"/>
      <c r="H16" s="3485"/>
      <c r="I16" s="3485"/>
      <c r="AC16" s="3475">
        <v>21</v>
      </c>
    </row>
    <row customHeight="1" ht="14.699999999999998">
      <c r="AC17" s="3475">
        <v>14</v>
      </c>
    </row>
    <row customHeight="1" ht="1.05">
      <c r="AC18" s="3475">
        <v>1</v>
      </c>
    </row>
    <row customHeight="1" ht="10.5">
      <c r="AC19" s="3486">
        <v>10</v>
      </c>
    </row>
    <row customHeight="1" ht="10.5">
      <c r="AC20" s="3486">
        <v>10</v>
      </c>
    </row>
    <row customHeight="1" ht="14.699999999999998">
      <c r="AC21" s="3432">
        <v>14</v>
      </c>
    </row>
    <row customHeight="1" ht="14.699999999999998">
      <c r="AC22" s="3432">
        <v>14</v>
      </c>
    </row>
    <row customHeight="1" ht="14.699999999999998">
      <c r="AC23" s="3432">
        <v>14</v>
      </c>
    </row>
    <row customHeight="1" ht="14.699999999999998">
      <c r="AC24" s="3432">
        <v>14</v>
      </c>
    </row>
    <row customHeight="1" ht="14.699999999999998">
      <c r="AC25" s="3432">
        <v>14</v>
      </c>
    </row>
    <row customHeight="1" ht="14.699999999999998">
      <c r="AC26" s="3432">
        <v>14</v>
      </c>
    </row>
    <row customHeight="1" ht="14.699999999999998">
      <c r="AC27" s="3432">
        <v>14</v>
      </c>
    </row>
    <row customHeight="1" ht="14.699999999999998">
      <c r="AC28" s="3432">
        <v>14</v>
      </c>
    </row>
    <row customHeight="1" ht="22.5" hidden="1">
      <c r="A29" s="3432" t="s">
        <v>80</v>
      </c>
      <c r="B29" s="3449">
        <v>0</v>
      </c>
      <c r="C29" s="3432">
        <v>3</v>
      </c>
      <c r="D29" s="3487">
        <v>3</v>
      </c>
      <c r="E29" s="3432">
        <v>6</v>
      </c>
      <c r="F29" s="3432">
        <v>0</v>
      </c>
      <c r="G29" s="3432">
        <v>46</v>
      </c>
      <c r="H29" s="3432">
        <v>42</v>
      </c>
      <c r="I29" s="3432">
        <v>14</v>
      </c>
      <c r="J29" s="3479">
        <v>3</v>
      </c>
      <c r="K29" s="3479">
        <v>0</v>
      </c>
      <c r="L29" s="3479">
        <v>0</v>
      </c>
      <c r="M29" s="3479">
        <v>0</v>
      </c>
      <c r="N29" s="3479">
        <v>0</v>
      </c>
      <c r="O29" s="3479">
        <v>0</v>
      </c>
      <c r="P29" s="3488">
        <v>0</v>
      </c>
      <c r="Q29" s="3488">
        <v>0</v>
      </c>
      <c r="R29" s="3488">
        <v>0</v>
      </c>
      <c r="S29" s="3488">
        <v>0</v>
      </c>
      <c r="T29" s="3432">
        <v>0</v>
      </c>
      <c r="U29" s="3432">
        <v>0</v>
      </c>
      <c r="V29" s="3432">
        <v>0</v>
      </c>
      <c r="W29" s="3432">
        <v>0</v>
      </c>
      <c r="X29" s="3432">
        <v>0</v>
      </c>
      <c r="Y29" s="3432">
        <v>0</v>
      </c>
      <c r="Z29" s="3432">
        <v>0</v>
      </c>
      <c r="AA29" s="3432">
        <v>0</v>
      </c>
      <c r="AB29" s="3432">
        <v>8</v>
      </c>
      <c r="AC29" s="343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4DEB8-2D99-4BE6-2FB3-0A9D80EA6633}" mc:Ignorable="x14ac xr xr2 xr3">
  <sheetPr>
    <tabColor rgb="FFCCCCFF"/>
  </sheetPr>
  <dimension ref="A1:AM25"/>
  <sheetViews>
    <sheetView topLeftCell="A1" showGridLines="0" zoomScale="90" workbookViewId="0">
      <selection activeCell="M14" sqref="M14"/>
    </sheetView>
  </sheetViews>
  <sheetFormatPr defaultColWidth="9.140625" customHeight="1" defaultRowHeight="11.25"/>
  <cols>
    <col min="1" max="1" style="7348" width="6.421875" hidden="1" customWidth="1"/>
    <col min="2" max="2" style="7348" width="2.00390625" hidden="1" customWidth="1"/>
    <col min="3" max="3" style="7348" width="3.00390625" customWidth="1"/>
    <col min="4" max="4" style="7348" width="4.00390625" customWidth="1"/>
    <col min="5" max="5" style="7348" width="44.00390625" customWidth="1"/>
    <col min="6" max="6" style="7348" width="6.421875" customWidth="1"/>
    <col min="7" max="7" style="7348" width="4.00390625" customWidth="1"/>
    <col min="8" max="8" style="7348" width="5.00390625" customWidth="1"/>
    <col min="9" max="9" style="7348" width="52.00390625" customWidth="1"/>
    <col min="10" max="10" style="7348" width="7.00390625" customWidth="1"/>
    <col min="11" max="11" style="7348" width="3.00390625" customWidth="1"/>
    <col min="12" max="12" style="7348" width="6.00390625" customWidth="1"/>
    <col min="13" max="13" style="7348" width="56.00390625" customWidth="1"/>
    <col min="14" max="14" style="7348" width="8.00390625" customWidth="1"/>
    <col min="15" max="37" style="7348" width="9.140625" hidden="1"/>
    <col min="38" max="38" style="7348" width="8.00390625" customWidth="1"/>
    <col min="39" max="39" style="7348" width="9.140625" hidden="1"/>
  </cols>
  <sheetData>
    <row customHeight="1" ht="11.25" hidden="1">
      <c r="AM1" s="3489" t="s">
        <v>14</v>
      </c>
    </row>
    <row customHeight="1" ht="11.25" hidden="1">
      <c r="AM2" s="3489">
        <v>0</v>
      </c>
    </row>
    <row customHeight="1" ht="11.549999999999999">
      <c r="AM3" s="3489">
        <v>11</v>
      </c>
    </row>
    <row customHeight="1" ht="35.699999999999996">
      <c r="D4" s="349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3491"/>
      <c r="F4" s="3491"/>
      <c r="G4" s="3491"/>
      <c r="H4" s="3491"/>
      <c r="I4" s="3492"/>
      <c r="AM4" s="3489">
        <v>34</v>
      </c>
    </row>
    <row customHeight="1" ht="14.699999999999998">
      <c r="D5" s="3493" t="str">
        <f>IF(org=0,"Не определено",org)</f>
        <v>ООО "ТеплоЭлектроГенерирующая Компания"</v>
      </c>
      <c r="E5" s="3494"/>
      <c r="F5" s="3494"/>
      <c r="G5" s="3494"/>
      <c r="H5" s="3494"/>
      <c r="I5" s="3495"/>
      <c r="AM5" s="3496">
        <v>14</v>
      </c>
    </row>
    <row customHeight="1" ht="6.3">
      <c r="AM6" s="3496">
        <v>6</v>
      </c>
    </row>
    <row customHeight="1" ht="45.75" hidden="1">
      <c r="E7" s="34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3489">
        <v>0</v>
      </c>
    </row>
    <row customHeight="1" ht="6.3">
      <c r="AM8" s="3496">
        <v>6</v>
      </c>
    </row>
    <row customHeight="1" ht="18.75">
      <c r="A9" s="3498"/>
      <c r="D9" s="3480" t="s">
        <v>103</v>
      </c>
      <c r="E9" s="3480"/>
      <c r="F9" s="3499" t="s">
        <v>104</v>
      </c>
      <c r="G9" s="3500"/>
      <c r="H9" s="3500"/>
      <c r="I9" s="3500"/>
      <c r="J9" s="3501" t="s">
        <v>105</v>
      </c>
      <c r="K9" s="3501"/>
      <c r="L9" s="3501"/>
      <c r="M9" s="3501"/>
      <c r="AM9" s="3489">
        <v>18</v>
      </c>
    </row>
    <row customHeight="1" ht="24">
      <c r="A10" s="3498"/>
      <c r="D10" s="3480" t="s">
        <v>86</v>
      </c>
      <c r="E10" s="3480" t="s">
        <v>87</v>
      </c>
      <c r="F10" s="3480" t="s">
        <v>106</v>
      </c>
      <c r="G10" s="3502" t="s">
        <v>86</v>
      </c>
      <c r="H10" s="3503"/>
      <c r="I10" s="3480" t="s">
        <v>87</v>
      </c>
      <c r="J10" s="3480" t="s">
        <v>106</v>
      </c>
      <c r="K10" s="3502" t="s">
        <v>86</v>
      </c>
      <c r="L10" s="3503"/>
      <c r="M10" s="3480" t="s">
        <v>87</v>
      </c>
      <c r="N10" s="3504"/>
      <c r="AM10" s="3489">
        <v>23</v>
      </c>
    </row>
    <row customHeight="1" ht="11.25" hidden="1">
      <c r="D11" s="194" t="s">
        <v>107</v>
      </c>
      <c r="E11" s="194" t="s">
        <v>108</v>
      </c>
      <c r="F11" s="194" t="s">
        <v>88</v>
      </c>
      <c r="G11" s="195" t="s">
        <v>89</v>
      </c>
      <c r="H11" s="196"/>
      <c r="I11" s="194" t="s">
        <v>109</v>
      </c>
      <c r="J11" s="194" t="s">
        <v>90</v>
      </c>
      <c r="K11" s="197" t="s">
        <v>91</v>
      </c>
      <c r="L11" s="198"/>
      <c r="M11" s="194" t="s">
        <v>110</v>
      </c>
      <c r="N11" s="3504"/>
      <c r="AM11" s="3489">
        <v>0</v>
      </c>
    </row>
    <row customHeight="1" ht="1.05">
      <c r="D12" s="3505"/>
      <c r="E12" s="200"/>
      <c r="F12" s="200"/>
      <c r="G12" s="201"/>
      <c r="H12" s="201"/>
      <c r="I12" s="200"/>
      <c r="J12" s="200"/>
      <c r="K12" s="202"/>
      <c r="L12" s="200"/>
      <c r="M12" s="3506"/>
      <c r="N12" s="3504"/>
      <c r="O12" s="3479" t="s">
        <v>111</v>
      </c>
      <c r="P12" s="3479" t="s">
        <v>112</v>
      </c>
      <c r="Q12" s="3479" t="s">
        <v>113</v>
      </c>
      <c r="R12" s="3479" t="s">
        <v>114</v>
      </c>
      <c r="AM12" s="3489">
        <v>1</v>
      </c>
    </row>
    <row customHeight="1" ht="36.75">
      <c r="D13" s="204" t="s">
        <v>107</v>
      </c>
      <c r="E13" s="3507" t="str">
        <f>INDEX(VD_NAME_LIST,MATCH("4189702",VD_ID_LIST,0))</f>
        <v>Горячее водоснабжение</v>
      </c>
      <c r="F13" s="206" t="s">
        <v>61</v>
      </c>
      <c r="G13" s="207"/>
      <c r="H13" s="3508">
        <v>1</v>
      </c>
      <c r="I13" s="3509" t="str">
        <f>IF(U13="","",INDEX(TERRITORY_MR_LIST,MATCH(U13,TERRITORY_LIST_ID,0)))</f>
        <v>Территория 1</v>
      </c>
      <c r="J13" s="210" t="s">
        <v>61</v>
      </c>
      <c r="K13" s="211"/>
      <c r="L13" s="204" t="s">
        <v>107</v>
      </c>
      <c r="M13" s="212" t="s">
        <v>115</v>
      </c>
      <c r="N13" s="3504"/>
      <c r="O13" s="3479" t="s">
        <v>116</v>
      </c>
      <c r="P13" s="3479" t="str">
        <f>$E$13</f>
        <v>Горячее водоснабжение</v>
      </c>
      <c r="Q13" s="3479" t="str">
        <f>IF($F$13="нет","без дифференциации",$I$13)</f>
        <v>Территория 1</v>
      </c>
      <c r="R13" s="3479" t="str">
        <f>IF($J$13="нет","без дифференциации",M13)</f>
        <v>г. Саратов, ул.Деловая, 22, п. Юбилейный
</v>
      </c>
      <c r="U13" s="3510" t="s">
        <v>96</v>
      </c>
      <c r="V13" s="3510" t="s">
        <v>117</v>
      </c>
      <c r="Y13" s="3511" t="s">
        <v>118</v>
      </c>
      <c r="Z13" s="3511">
        <v>1705000</v>
      </c>
      <c r="AM13" s="3489">
        <v>15</v>
      </c>
    </row>
    <row customHeight="1" ht="36.75">
      <c r="D14" s="215"/>
      <c r="E14" s="215"/>
      <c r="F14" s="215"/>
      <c r="G14" s="215"/>
      <c r="H14" s="215"/>
      <c r="I14" s="215"/>
      <c r="J14" s="215"/>
      <c r="K14" s="3512" t="s">
        <v>119</v>
      </c>
      <c r="L14" s="217" t="s">
        <v>108</v>
      </c>
      <c r="M14" s="212" t="s">
        <v>120</v>
      </c>
      <c r="N14" s="3504"/>
      <c r="O14" s="3511" t="s">
        <v>121</v>
      </c>
      <c r="P14" s="3511" t="str">
        <f>$E$13</f>
        <v>Горячее водоснабжение</v>
      </c>
      <c r="Q14" s="3511" t="str">
        <f>IF($F$13="нет","без дифференциации",$I$13)</f>
        <v>Территория 1</v>
      </c>
      <c r="R14" s="3511" t="str">
        <f>IF($J$14="нет","без дифференциации",$M$14)</f>
        <v>г. Саратов, ул. Вавилова,8/26 А
</v>
      </c>
      <c r="Y14" s="3511" t="s">
        <v>118</v>
      </c>
      <c r="Z14" s="3511">
        <v>1705000</v>
      </c>
    </row>
    <row customHeight="1" ht="36.75">
      <c r="D15" s="215"/>
      <c r="E15" s="215"/>
      <c r="F15" s="215"/>
      <c r="G15" s="215"/>
      <c r="H15" s="215"/>
      <c r="I15" s="215"/>
      <c r="J15" s="215"/>
      <c r="K15" s="3512" t="s">
        <v>119</v>
      </c>
      <c r="L15" s="217" t="s">
        <v>88</v>
      </c>
      <c r="M15" s="212" t="s">
        <v>122</v>
      </c>
      <c r="N15" s="3504"/>
      <c r="O15" s="3511" t="s">
        <v>123</v>
      </c>
      <c r="P15" s="3511" t="str">
        <f>$E$13</f>
        <v>Горячее водоснабжение</v>
      </c>
      <c r="Q15" s="3511" t="str">
        <f>IF($F$13="нет","без дифференциации",$I$13)</f>
        <v>Территория 1</v>
      </c>
      <c r="R15" s="3511" t="str">
        <f>IF($J$15="нет","без дифференциации",$M$15)</f>
        <v>г. Саратов, пр. 50 лет Октября, 60, 74, 108, ЦТП Волочаевский пр., 5, ЦТП Соколовая, 145/153
</v>
      </c>
      <c r="Y15" s="3511" t="s">
        <v>118</v>
      </c>
      <c r="Z15" s="3511">
        <v>1705000</v>
      </c>
    </row>
    <row customHeight="1" ht="36.75">
      <c r="D16" s="215"/>
      <c r="E16" s="215"/>
      <c r="F16" s="215"/>
      <c r="G16" s="215"/>
      <c r="H16" s="215"/>
      <c r="I16" s="215"/>
      <c r="J16" s="215"/>
      <c r="K16" s="3512" t="s">
        <v>119</v>
      </c>
      <c r="L16" s="217" t="s">
        <v>89</v>
      </c>
      <c r="M16" s="212" t="s">
        <v>124</v>
      </c>
      <c r="N16" s="3504"/>
      <c r="O16" s="3511" t="s">
        <v>125</v>
      </c>
      <c r="P16" s="3511" t="str">
        <f>$E$13</f>
        <v>Горячее водоснабжение</v>
      </c>
      <c r="Q16" s="3511" t="str">
        <f>IF($F$13="нет","без дифференциации",$I$13)</f>
        <v>Территория 1</v>
      </c>
      <c r="R16" s="3511" t="str">
        <f>IF($J$16="нет","без дифференциации",$M$16)</f>
        <v>г. Саратов, ул. Шелковичная, 186, ул. Шелковичная, 178, ул. Шелковичная, 155/161, ул. 2-я Садовая, 106 б.
</v>
      </c>
      <c r="Y16" s="3511" t="s">
        <v>118</v>
      </c>
      <c r="Z16" s="3511">
        <v>1705000</v>
      </c>
    </row>
    <row customHeight="1" ht="36.75">
      <c r="D17" s="215"/>
      <c r="E17" s="215"/>
      <c r="F17" s="215"/>
      <c r="G17" s="215"/>
      <c r="H17" s="215"/>
      <c r="I17" s="215"/>
      <c r="J17" s="215"/>
      <c r="K17" s="3512" t="s">
        <v>119</v>
      </c>
      <c r="L17" s="217" t="s">
        <v>109</v>
      </c>
      <c r="M17" s="212" t="s">
        <v>126</v>
      </c>
      <c r="N17" s="3504"/>
      <c r="O17" s="3511" t="s">
        <v>127</v>
      </c>
      <c r="P17" s="3511" t="str">
        <f>$E$13</f>
        <v>Горячее водоснабжение</v>
      </c>
      <c r="Q17" s="3511" t="str">
        <f>IF($F$13="нет","без дифференциации",$I$13)</f>
        <v>Территория 1</v>
      </c>
      <c r="R17" s="3511" t="str">
        <f>IF($J$17="нет","без дифференциации",$M$17)</f>
        <v>г. Саратов, ул. Ломоносова, 1
</v>
      </c>
      <c r="Y17" s="3511" t="s">
        <v>118</v>
      </c>
      <c r="Z17" s="3511">
        <v>1705000</v>
      </c>
    </row>
    <row customHeight="1" ht="36.75">
      <c r="D18" s="215"/>
      <c r="E18" s="215"/>
      <c r="F18" s="215"/>
      <c r="G18" s="215"/>
      <c r="H18" s="215"/>
      <c r="I18" s="215"/>
      <c r="J18" s="215"/>
      <c r="K18" s="3512" t="s">
        <v>119</v>
      </c>
      <c r="L18" s="217" t="s">
        <v>90</v>
      </c>
      <c r="M18" s="212" t="s">
        <v>128</v>
      </c>
      <c r="N18" s="3504"/>
      <c r="O18" s="3511" t="s">
        <v>129</v>
      </c>
      <c r="P18" s="3511" t="str">
        <f>$E$13</f>
        <v>Горячее водоснабжение</v>
      </c>
      <c r="Q18" s="3511" t="str">
        <f>IF($F$13="нет","без дифференциации",$I$13)</f>
        <v>Территория 1</v>
      </c>
      <c r="R18" s="3511" t="str">
        <f>IF($J$18="нет","без дифференциации",$M$18)</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Y18" s="3511" t="s">
        <v>118</v>
      </c>
      <c r="Z18" s="3511">
        <v>1705000</v>
      </c>
    </row>
    <row customHeight="1" ht="36.75">
      <c r="D19" s="215"/>
      <c r="E19" s="215"/>
      <c r="F19" s="215"/>
      <c r="G19" s="215"/>
      <c r="H19" s="215"/>
      <c r="I19" s="215"/>
      <c r="J19" s="215"/>
      <c r="K19" s="3512" t="s">
        <v>119</v>
      </c>
      <c r="L19" s="217" t="s">
        <v>91</v>
      </c>
      <c r="M19" s="212" t="s">
        <v>130</v>
      </c>
      <c r="N19" s="3504"/>
      <c r="O19" s="3511" t="s">
        <v>131</v>
      </c>
      <c r="P19" s="3511" t="str">
        <f>$E$13</f>
        <v>Горячее водоснабжение</v>
      </c>
      <c r="Q19" s="3511" t="str">
        <f>IF($F$13="нет","без дифференциации",$I$13)</f>
        <v>Территория 1</v>
      </c>
      <c r="R19" s="3511" t="str">
        <f>IF($J$19="нет","без дифференциации",$M$19)</f>
        <v>г. Саратов, ул. Огородная, 77
</v>
      </c>
      <c r="Y19" s="3511" t="s">
        <v>118</v>
      </c>
      <c r="Z19" s="3511">
        <v>1705000</v>
      </c>
    </row>
    <row customHeight="1" ht="36.75">
      <c r="D20" s="215"/>
      <c r="E20" s="215"/>
      <c r="F20" s="215"/>
      <c r="G20" s="215"/>
      <c r="H20" s="215"/>
      <c r="I20" s="215"/>
      <c r="J20" s="215"/>
      <c r="K20" s="3512" t="s">
        <v>119</v>
      </c>
      <c r="L20" s="217" t="s">
        <v>110</v>
      </c>
      <c r="M20" s="212" t="s">
        <v>132</v>
      </c>
      <c r="N20" s="3504"/>
      <c r="O20" s="3511" t="s">
        <v>133</v>
      </c>
      <c r="P20" s="3511" t="str">
        <f>$E$13</f>
        <v>Горячее водоснабжение</v>
      </c>
      <c r="Q20" s="3511" t="str">
        <f>IF($F$13="нет","без дифференциации",$I$13)</f>
        <v>Территория 1</v>
      </c>
      <c r="R20" s="3511" t="str">
        <f>IF($J$20="нет","без дифференциации",$M$20)</f>
        <v>г. Саратов, ул. Танкистов, 89
</v>
      </c>
      <c r="Y20" s="3511" t="s">
        <v>118</v>
      </c>
      <c r="Z20" s="3511">
        <v>1705000</v>
      </c>
    </row>
    <row customHeight="1" ht="36.75">
      <c r="D21" s="215"/>
      <c r="E21" s="215"/>
      <c r="F21" s="215"/>
      <c r="G21" s="215"/>
      <c r="H21" s="215"/>
      <c r="I21" s="215"/>
      <c r="J21" s="215"/>
      <c r="K21" s="3512" t="s">
        <v>119</v>
      </c>
      <c r="L21" s="217" t="s">
        <v>134</v>
      </c>
      <c r="M21" s="212" t="s">
        <v>135</v>
      </c>
      <c r="N21" s="3504"/>
      <c r="O21" s="3511" t="s">
        <v>136</v>
      </c>
      <c r="P21" s="3511" t="str">
        <f>$E$13</f>
        <v>Горячее водоснабжение</v>
      </c>
      <c r="Q21" s="3511" t="str">
        <f>IF($F$13="нет","без дифференциации",$I$13)</f>
        <v>Территория 1</v>
      </c>
      <c r="R21" s="3511" t="str">
        <f>IF($J$21="нет","без дифференциации",$M$21)</f>
        <v>г. Саратов, ул. Политехническая, 47
</v>
      </c>
      <c r="Y21" s="3511" t="s">
        <v>118</v>
      </c>
      <c r="Z21" s="3511">
        <v>1705000</v>
      </c>
    </row>
    <row customHeight="1" ht="15.75">
      <c r="D22" s="204"/>
      <c r="E22" s="3513"/>
      <c r="F22" s="210"/>
      <c r="G22" s="207"/>
      <c r="H22" s="3508"/>
      <c r="I22" s="3514"/>
      <c r="J22" s="210"/>
      <c r="K22" s="165"/>
      <c r="L22" s="166"/>
      <c r="M22" s="220" t="s">
        <v>137</v>
      </c>
      <c r="N22" s="3504"/>
      <c r="AM22" s="3489">
        <v>15</v>
      </c>
    </row>
    <row customHeight="1" ht="15.75">
      <c r="D23" s="204"/>
      <c r="E23" s="3515"/>
      <c r="F23" s="210"/>
      <c r="G23" s="222"/>
      <c r="H23" s="223"/>
      <c r="I23" s="167" t="s">
        <v>138</v>
      </c>
      <c r="J23" s="166"/>
      <c r="K23" s="166"/>
      <c r="L23" s="166"/>
      <c r="M23" s="224"/>
      <c r="N23" s="3504"/>
      <c r="AM23" s="3489">
        <v>15</v>
      </c>
    </row>
    <row customHeight="1" ht="15.75">
      <c r="A24" s="3516"/>
      <c r="D24" s="165"/>
      <c r="E24" s="226" t="s">
        <v>139</v>
      </c>
      <c r="F24" s="166"/>
      <c r="G24" s="166"/>
      <c r="H24" s="166"/>
      <c r="I24" s="166"/>
      <c r="J24" s="166"/>
      <c r="K24" s="166" t="s">
        <v>22</v>
      </c>
      <c r="L24" s="166"/>
      <c r="M24" s="224"/>
      <c r="N24" s="3504"/>
      <c r="AM24" s="3489">
        <v>15</v>
      </c>
    </row>
    <row customHeight="1" ht="11.25" hidden="1">
      <c r="A25" s="3489" t="s">
        <v>80</v>
      </c>
      <c r="B25" s="3489">
        <v>0</v>
      </c>
      <c r="C25" s="3489">
        <v>3</v>
      </c>
      <c r="D25" s="3489">
        <v>4</v>
      </c>
      <c r="E25" s="3489">
        <v>44</v>
      </c>
      <c r="F25" s="3489">
        <v>6</v>
      </c>
      <c r="G25" s="3489">
        <v>4</v>
      </c>
      <c r="H25" s="3489">
        <v>5</v>
      </c>
      <c r="I25" s="3489">
        <v>52</v>
      </c>
      <c r="J25" s="3489">
        <v>6</v>
      </c>
      <c r="K25" s="3489">
        <v>3</v>
      </c>
      <c r="L25" s="3489">
        <v>6</v>
      </c>
      <c r="M25" s="3489">
        <v>56</v>
      </c>
      <c r="N25" s="3511">
        <v>8</v>
      </c>
      <c r="O25" s="3479">
        <v>0</v>
      </c>
      <c r="P25" s="3479">
        <v>0</v>
      </c>
      <c r="Q25" s="3479">
        <v>0</v>
      </c>
      <c r="R25" s="3479">
        <v>0</v>
      </c>
      <c r="S25" s="3479">
        <v>0</v>
      </c>
      <c r="T25" s="3479">
        <v>0</v>
      </c>
      <c r="U25" s="3510">
        <v>0</v>
      </c>
      <c r="V25" s="3510">
        <v>0</v>
      </c>
      <c r="W25" s="3510">
        <v>0</v>
      </c>
      <c r="X25" s="3510">
        <v>0</v>
      </c>
      <c r="Y25" s="3511">
        <v>0</v>
      </c>
      <c r="Z25" s="3511">
        <v>0</v>
      </c>
      <c r="AA25" s="3511">
        <v>0</v>
      </c>
      <c r="AB25" s="3511">
        <v>0</v>
      </c>
      <c r="AC25" s="3511">
        <v>0</v>
      </c>
      <c r="AD25" s="3511">
        <v>0</v>
      </c>
      <c r="AE25" s="3511">
        <v>0</v>
      </c>
      <c r="AF25" s="3511">
        <v>0</v>
      </c>
      <c r="AG25" s="3511">
        <v>0</v>
      </c>
      <c r="AH25" s="3511">
        <v>0</v>
      </c>
      <c r="AI25" s="3511">
        <v>0</v>
      </c>
      <c r="AJ25" s="3511">
        <v>0</v>
      </c>
      <c r="AK25" s="3511">
        <v>0</v>
      </c>
      <c r="AL25" s="3511">
        <v>8</v>
      </c>
      <c r="AM25" s="348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A11CF-9A07-2463-407F-66FA2DECB79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7348" width="3.7109375" hidden="1" customWidth="1"/>
    <col min="3" max="3" style="7348" width="3.00390625" customWidth="1"/>
    <col min="4" max="4" style="7348" width="6.00390625" customWidth="1"/>
    <col min="5" max="5" style="7348" width="42.00390625" customWidth="1"/>
    <col min="6" max="6" style="7348" width="15.00390625" customWidth="1"/>
    <col min="7" max="7" style="7348" width="42.00390625" customWidth="1"/>
    <col min="8" max="8" style="7348" width="3.00390625" customWidth="1"/>
    <col min="9" max="9" style="7348" width="5.00390625" customWidth="1"/>
    <col min="10" max="10" style="7348" width="47.00390625" customWidth="1"/>
    <col min="11" max="12" style="7348" width="3.00390625" customWidth="1"/>
    <col min="13" max="13" style="7348" width="5.00390625" customWidth="1"/>
    <col min="14" max="14" style="7348" width="28.00390625" customWidth="1"/>
    <col min="15" max="16" style="7348" width="3.00390625" customWidth="1"/>
    <col min="17" max="17" style="7348" width="5.00390625" customWidth="1"/>
    <col min="18" max="18" style="7348" width="34.00390625" customWidth="1"/>
    <col min="19" max="20" style="7348" width="3.7109375" hidden="1" customWidth="1"/>
    <col min="21" max="21" style="7348" width="5.7109375" hidden="1" customWidth="1"/>
    <col min="22" max="22" style="7348" width="34.421875" hidden="1" customWidth="1"/>
    <col min="23" max="23" style="7348" width="30.00390625" customWidth="1"/>
    <col min="24" max="24" style="7348" width="3.00390625" customWidth="1"/>
    <col min="25" max="28" style="7348" width="9.8515625" hidden="1" customWidth="1"/>
    <col min="29" max="29" style="7348" width="27.00390625" hidden="1" customWidth="1"/>
    <col min="30" max="30" style="7348" width="10.57421875" hidden="1" customWidth="1"/>
    <col min="31" max="31" style="7348" width="10.7109375" hidden="1" customWidth="1"/>
    <col min="32" max="32" style="7348" width="10.00390625" hidden="1" customWidth="1"/>
    <col min="33" max="33" style="7348" width="12.8515625" hidden="1" customWidth="1"/>
    <col min="34" max="34" style="7348" width="24.421875" hidden="1" customWidth="1"/>
    <col min="35" max="35" style="7348" width="15.8515625" hidden="1" customWidth="1"/>
    <col min="36" max="36" style="7348" width="19.421875" hidden="1" customWidth="1"/>
    <col min="37" max="37" style="7348" width="11.00390625" hidden="1" customWidth="1"/>
    <col min="38" max="38" style="7348" width="23.57421875" hidden="1" customWidth="1"/>
    <col min="39" max="39" style="7348" width="23.8515625" hidden="1" customWidth="1"/>
    <col min="40" max="40" style="7348" width="25.28125" hidden="1" customWidth="1"/>
    <col min="41" max="41" style="7348" width="16.8515625" hidden="1" customWidth="1"/>
    <col min="42" max="42" style="7348" width="29.57421875" hidden="1" customWidth="1"/>
    <col min="43" max="43" style="7348" width="29.8515625" hidden="1" customWidth="1"/>
    <col min="44" max="44" style="7348" width="9.140625" hidden="1"/>
  </cols>
  <sheetData>
    <row customHeight="1" ht="11.25" hidden="1">
      <c r="AR1" s="3489" t="s">
        <v>14</v>
      </c>
    </row>
    <row customHeight="1" ht="11.25" hidden="1">
      <c r="AR2" s="3489">
        <v>0</v>
      </c>
    </row>
    <row customHeight="1" ht="11.25" hidden="1">
      <c r="AR3" s="3489">
        <v>0</v>
      </c>
    </row>
    <row customHeight="1" ht="3">
      <c r="AR4" s="3489">
        <v>3</v>
      </c>
    </row>
    <row customHeight="1" ht="30.45">
      <c r="D5" s="35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3518"/>
      <c r="F5" s="3518"/>
      <c r="G5" s="3518"/>
      <c r="H5" s="3518"/>
      <c r="I5" s="3518"/>
      <c r="J5" s="3519"/>
      <c r="AR5" s="3496">
        <v>29</v>
      </c>
    </row>
    <row customHeight="1" ht="14.699999999999998">
      <c r="D6" s="3520" t="str">
        <f>IF(org=0,"Не определено",org)</f>
        <v>ООО "ТеплоЭлектроГенерирующая Компания"</v>
      </c>
      <c r="E6" s="3520"/>
      <c r="F6" s="3520"/>
      <c r="G6" s="3520"/>
      <c r="H6" s="3520"/>
      <c r="I6" s="3520"/>
      <c r="J6" s="3520"/>
      <c r="AR6" s="3496">
        <v>14</v>
      </c>
    </row>
    <row customHeight="1" ht="11.549999999999999">
      <c r="D7" s="3521"/>
      <c r="E7" s="3522"/>
      <c r="F7" s="3522"/>
      <c r="G7" s="3522"/>
      <c r="H7" s="3522"/>
      <c r="I7" s="3522"/>
      <c r="J7" s="3523"/>
      <c r="AR7" s="3524">
        <v>11</v>
      </c>
    </row>
    <row customHeight="1" ht="1.05">
      <c r="AR8" s="3496">
        <v>1</v>
      </c>
    </row>
    <row customHeight="1" ht="28.5">
      <c r="D9" s="3480" t="s">
        <v>86</v>
      </c>
      <c r="E9" s="3437" t="s">
        <v>140</v>
      </c>
      <c r="F9" s="3436"/>
      <c r="G9" s="3480" t="s">
        <v>103</v>
      </c>
      <c r="H9" s="3480" t="s">
        <v>86</v>
      </c>
      <c r="I9" s="3480"/>
      <c r="J9" s="3480" t="s">
        <v>141</v>
      </c>
      <c r="K9" s="3525" t="s">
        <v>142</v>
      </c>
      <c r="L9" s="3525"/>
      <c r="M9" s="3525"/>
      <c r="N9" s="3525"/>
      <c r="O9" s="3525" t="s">
        <v>143</v>
      </c>
      <c r="P9" s="3525"/>
      <c r="Q9" s="3525"/>
      <c r="R9" s="3525"/>
      <c r="S9" s="3525" t="s">
        <v>144</v>
      </c>
      <c r="T9" s="3525"/>
      <c r="U9" s="3525"/>
      <c r="V9" s="3525"/>
      <c r="W9" s="3480" t="s">
        <v>145</v>
      </c>
      <c r="AR9" s="3489">
        <v>27</v>
      </c>
    </row>
    <row customHeight="1" ht="31.5">
      <c r="D10" s="3480"/>
      <c r="E10" s="3480" t="s">
        <v>87</v>
      </c>
      <c r="F10" s="3480" t="s">
        <v>146</v>
      </c>
      <c r="G10" s="3480"/>
      <c r="H10" s="3480"/>
      <c r="I10" s="3480"/>
      <c r="J10" s="3480"/>
      <c r="K10" s="3480" t="s">
        <v>106</v>
      </c>
      <c r="L10" s="3480" t="s">
        <v>86</v>
      </c>
      <c r="M10" s="3480"/>
      <c r="N10" s="3480" t="s">
        <v>147</v>
      </c>
      <c r="O10" s="3480" t="s">
        <v>106</v>
      </c>
      <c r="P10" s="3480" t="s">
        <v>86</v>
      </c>
      <c r="Q10" s="3480"/>
      <c r="R10" s="3480" t="s">
        <v>147</v>
      </c>
      <c r="S10" s="3480" t="s">
        <v>106</v>
      </c>
      <c r="T10" s="3480" t="s">
        <v>86</v>
      </c>
      <c r="U10" s="3480"/>
      <c r="V10" s="3480" t="s">
        <v>87</v>
      </c>
      <c r="W10" s="3480"/>
      <c r="Z10" s="3510" t="s">
        <v>148</v>
      </c>
      <c r="AA10" s="3510" t="s">
        <v>149</v>
      </c>
      <c r="AB10" s="3510" t="s">
        <v>150</v>
      </c>
      <c r="AC10" s="3510" t="s">
        <v>151</v>
      </c>
      <c r="AD10" s="3510" t="s">
        <v>152</v>
      </c>
      <c r="AE10" s="3510" t="s">
        <v>153</v>
      </c>
      <c r="AF10" s="3510" t="s">
        <v>154</v>
      </c>
      <c r="AG10" s="3510" t="s">
        <v>155</v>
      </c>
      <c r="AH10" s="3510" t="s">
        <v>156</v>
      </c>
      <c r="AI10" s="3510" t="s">
        <v>157</v>
      </c>
      <c r="AJ10" s="3510" t="s">
        <v>158</v>
      </c>
      <c r="AK10" s="3510" t="s">
        <v>159</v>
      </c>
      <c r="AL10" s="3510" t="s">
        <v>160</v>
      </c>
      <c r="AM10" s="3510" t="s">
        <v>161</v>
      </c>
      <c r="AN10" s="3510" t="s">
        <v>162</v>
      </c>
      <c r="AO10" s="3510" t="s">
        <v>163</v>
      </c>
      <c r="AP10" s="3510" t="s">
        <v>164</v>
      </c>
      <c r="AQ10" s="3510" t="s">
        <v>165</v>
      </c>
      <c r="AR10" s="3489">
        <v>30</v>
      </c>
    </row>
    <row customHeight="1" ht="12" hidden="1">
      <c r="D11" s="236" t="s">
        <v>107</v>
      </c>
      <c r="E11" s="236" t="s">
        <v>108</v>
      </c>
      <c r="F11" s="236"/>
      <c r="G11" s="236" t="s">
        <v>88</v>
      </c>
      <c r="H11" s="237" t="s">
        <v>109</v>
      </c>
      <c r="I11" s="237"/>
      <c r="J11" s="236" t="s">
        <v>90</v>
      </c>
      <c r="K11" s="236" t="s">
        <v>91</v>
      </c>
      <c r="L11" s="237" t="s">
        <v>110</v>
      </c>
      <c r="M11" s="237"/>
      <c r="N11" s="236" t="s">
        <v>134</v>
      </c>
      <c r="O11" s="236" t="s">
        <v>166</v>
      </c>
      <c r="P11" s="237" t="s">
        <v>167</v>
      </c>
      <c r="Q11" s="237"/>
      <c r="R11" s="236" t="s">
        <v>168</v>
      </c>
      <c r="S11" s="236" t="s">
        <v>167</v>
      </c>
      <c r="T11" s="237" t="s">
        <v>168</v>
      </c>
      <c r="U11" s="237"/>
      <c r="V11" s="236" t="s">
        <v>169</v>
      </c>
      <c r="W11" s="236" t="s">
        <v>170</v>
      </c>
      <c r="AR11" s="3479">
        <v>0</v>
      </c>
    </row>
    <row customHeight="1" ht="14.25" hidden="1">
      <c r="D12" s="3526">
        <v>0</v>
      </c>
      <c r="E12" s="3480"/>
      <c r="F12" s="3480"/>
      <c r="G12" s="3480"/>
      <c r="H12" s="3527"/>
      <c r="I12" s="3527"/>
      <c r="J12" s="204"/>
      <c r="K12" s="204"/>
      <c r="L12" s="204"/>
      <c r="M12" s="204"/>
      <c r="N12" s="240"/>
      <c r="O12" s="204"/>
      <c r="P12" s="204"/>
      <c r="Q12" s="204"/>
      <c r="R12" s="241"/>
      <c r="S12" s="204"/>
      <c r="T12" s="204"/>
      <c r="U12" s="204"/>
      <c r="V12" s="241"/>
      <c r="W12" s="204"/>
      <c r="AR12" s="3489">
        <v>0</v>
      </c>
    </row>
    <row customHeight="1" ht="17.25" hidden="1">
      <c r="D13" s="3528">
        <v>1</v>
      </c>
      <c r="E13" s="3529" t="s">
        <v>171</v>
      </c>
      <c r="F13" s="3530" t="s">
        <v>19</v>
      </c>
      <c r="G13" s="3529"/>
      <c r="H13" s="3531"/>
      <c r="I13" s="3532"/>
      <c r="J13" s="247"/>
      <c r="K13" s="248"/>
      <c r="L13" s="248"/>
      <c r="M13" s="248"/>
      <c r="N13" s="3533"/>
      <c r="O13" s="248"/>
      <c r="P13" s="248"/>
      <c r="Q13" s="248"/>
      <c r="R13" s="250"/>
      <c r="S13" s="248"/>
      <c r="T13" s="248"/>
      <c r="U13" s="248"/>
      <c r="V13" s="250"/>
      <c r="W13" s="251"/>
      <c r="AC13" s="3534" t="s">
        <v>172</v>
      </c>
      <c r="AD13" s="3534" t="s">
        <v>173</v>
      </c>
      <c r="AE13" s="3534" t="s">
        <v>174</v>
      </c>
      <c r="AF13" s="3534" t="s">
        <v>175</v>
      </c>
      <c r="AG13" s="3534" t="s">
        <v>176</v>
      </c>
      <c r="AH13" s="35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3534" t="str">
        <f>IF($G$13=0,"",$G$13)</f>
        <v/>
      </c>
      <c r="AJ13" s="3534" t="str">
        <f>IF($J$13=0,"",$J$13)</f>
        <v/>
      </c>
      <c r="AK13" s="3534" t="str">
        <f>IF($K$13="нет","без дифференциации",IF($N$13=0,"",$N$13))</f>
        <v/>
      </c>
      <c r="AL13" s="3534" t="str">
        <f>IF($O$13="нет","без дифференциации",IF($R$13=0,"",$R$13))</f>
        <v/>
      </c>
      <c r="AM13" s="3534" t="str">
        <f>IF($S$13="нет","без дифференциации",IF($V$13=0,"",$V$13))</f>
        <v/>
      </c>
      <c r="AN13" s="3534">
        <f>$I$13</f>
        <v>0</v>
      </c>
      <c r="AO13" s="3534" t="str">
        <f>$I$13&amp;"."&amp;$M$13</f>
        <v>.</v>
      </c>
      <c r="AP13" s="3534" t="str">
        <f>$I$13&amp;"."&amp;$M$13&amp;"."&amp;$Q$13</f>
        <v>..</v>
      </c>
      <c r="AQ13" s="3534" t="str">
        <f>$I$13&amp;"."&amp;$M$13&amp;"."&amp;$Q$13&amp;"."&amp;$U$13</f>
        <v>...</v>
      </c>
      <c r="AR13" s="3489">
        <v>0</v>
      </c>
    </row>
    <row customHeight="1" ht="17.25" hidden="1">
      <c r="D14" s="3528"/>
      <c r="E14" s="3529"/>
      <c r="F14" s="3535"/>
      <c r="G14" s="3529"/>
      <c r="H14" s="3536"/>
      <c r="W14" s="3537"/>
      <c r="AR14" s="3489">
        <v>0</v>
      </c>
    </row>
    <row customHeight="1" ht="17.25" hidden="1">
      <c r="D15" s="3528"/>
      <c r="E15" s="3529"/>
      <c r="F15" s="3535"/>
      <c r="G15" s="3529"/>
      <c r="H15" s="3536"/>
      <c r="W15" s="3537"/>
      <c r="AR15" s="3489">
        <v>0</v>
      </c>
    </row>
    <row customHeight="1" ht="17.25" hidden="1">
      <c r="D16" s="3528"/>
      <c r="E16" s="3529"/>
      <c r="F16" s="3535"/>
      <c r="G16" s="3529"/>
      <c r="H16" s="3536"/>
      <c r="W16" s="3537"/>
      <c r="AR16" s="3489">
        <v>0</v>
      </c>
    </row>
    <row customHeight="1" ht="17.25" hidden="1">
      <c r="D17" s="215"/>
      <c r="E17" s="256"/>
      <c r="F17" s="3538"/>
      <c r="G17" s="256"/>
      <c r="H17" s="3539"/>
      <c r="I17" s="3540"/>
      <c r="J17" s="3540"/>
      <c r="K17" s="3540"/>
      <c r="L17" s="3540"/>
      <c r="M17" s="3540"/>
      <c r="N17" s="3540"/>
      <c r="O17" s="3540"/>
      <c r="P17" s="3540"/>
      <c r="Q17" s="3540"/>
      <c r="R17" s="3540"/>
      <c r="S17" s="3541"/>
      <c r="T17" s="3541"/>
      <c r="U17" s="3541"/>
      <c r="V17" s="3541"/>
      <c r="W17" s="3542"/>
      <c r="AR17" s="3489">
        <v>0</v>
      </c>
    </row>
    <row customHeight="1" ht="17.25" hidden="1">
      <c r="D18" s="3528">
        <v>2</v>
      </c>
      <c r="E18" s="3543"/>
      <c r="F18" s="3530" t="s">
        <v>19</v>
      </c>
      <c r="G18" s="3529"/>
      <c r="H18" s="3531"/>
      <c r="I18" s="3532"/>
      <c r="J18" s="247"/>
      <c r="K18" s="248"/>
      <c r="L18" s="248"/>
      <c r="M18" s="248"/>
      <c r="N18" s="3533"/>
      <c r="O18" s="248"/>
      <c r="P18" s="248"/>
      <c r="Q18" s="248"/>
      <c r="R18" s="250"/>
      <c r="S18" s="248"/>
      <c r="T18" s="248"/>
      <c r="U18" s="248"/>
      <c r="V18" s="250"/>
      <c r="W18" s="251"/>
      <c r="AC18" s="3534" t="s">
        <v>177</v>
      </c>
      <c r="AD18" s="3534" t="s">
        <v>178</v>
      </c>
      <c r="AE18" s="3534" t="s">
        <v>179</v>
      </c>
      <c r="AF18" s="3534" t="s">
        <v>180</v>
      </c>
      <c r="AG18" s="3534" t="s">
        <v>181</v>
      </c>
      <c r="AH18" s="3534" t="str">
        <f>IF($E$18=0,"",$E$18)</f>
        <v/>
      </c>
      <c r="AI18" s="3534" t="str">
        <f>IF($G$18=0,"",$G$18)</f>
        <v/>
      </c>
      <c r="AJ18" s="3534" t="str">
        <f>IF($J$18=0,"",$J$18)</f>
        <v/>
      </c>
      <c r="AK18" s="3534" t="str">
        <f>IF($K$18="нет","без дифференциации",IF($N$18=0,"",$N$18))</f>
        <v/>
      </c>
      <c r="AL18" s="3534" t="str">
        <f>IF($O$18="нет","без дифференциации",IF($R$18=0,"",$R$18))</f>
        <v/>
      </c>
      <c r="AM18" s="3534" t="str">
        <f>IF($S$18="нет","без дифференциации",IF($V$18=0,"",$V$18))</f>
        <v/>
      </c>
      <c r="AN18" s="263">
        <f>$I$18</f>
        <v>0</v>
      </c>
      <c r="AO18" s="3534" t="str">
        <f>$I$18&amp;"."&amp;$M$18</f>
        <v>.</v>
      </c>
      <c r="AP18" s="3510" t="str">
        <f>$I$18&amp;"."&amp;$M$18&amp;"."&amp;$Q$18</f>
        <v>..</v>
      </c>
      <c r="AQ18" s="3510" t="str">
        <f>$I$18&amp;"."&amp;$M$18&amp;"."&amp;$Q$18&amp;"."&amp;$U$18</f>
        <v>...</v>
      </c>
      <c r="AR18" s="3489">
        <v>0</v>
      </c>
    </row>
    <row customHeight="1" ht="17.25" hidden="1">
      <c r="D19" s="3528"/>
      <c r="E19" s="3543"/>
      <c r="F19" s="3535"/>
      <c r="G19" s="3529"/>
      <c r="H19" s="3536"/>
      <c r="W19" s="3537"/>
      <c r="AR19" s="3489">
        <v>0</v>
      </c>
    </row>
    <row customHeight="1" ht="17.25" hidden="1">
      <c r="D20" s="215"/>
      <c r="E20" s="3544"/>
      <c r="F20" s="3535"/>
      <c r="G20" s="256"/>
      <c r="H20" s="3536"/>
      <c r="W20" s="3537"/>
      <c r="AR20" s="3489">
        <v>0</v>
      </c>
    </row>
    <row customHeight="1" ht="17.25" hidden="1">
      <c r="D21" s="215"/>
      <c r="E21" s="3544"/>
      <c r="F21" s="3535"/>
      <c r="G21" s="256"/>
      <c r="H21" s="3536"/>
      <c r="W21" s="3537"/>
      <c r="AR21" s="3489">
        <v>0</v>
      </c>
    </row>
    <row customHeight="1" ht="17.25" hidden="1">
      <c r="D22" s="215"/>
      <c r="E22" s="3544"/>
      <c r="F22" s="3538"/>
      <c r="G22" s="256"/>
      <c r="H22" s="3539"/>
      <c r="I22" s="3540"/>
      <c r="J22" s="3540"/>
      <c r="K22" s="3540"/>
      <c r="L22" s="3540"/>
      <c r="M22" s="3540"/>
      <c r="N22" s="3540"/>
      <c r="O22" s="3540"/>
      <c r="P22" s="3540"/>
      <c r="Q22" s="3540"/>
      <c r="R22" s="3540"/>
      <c r="S22" s="3541"/>
      <c r="T22" s="3541"/>
      <c r="U22" s="3541"/>
      <c r="V22" s="3541"/>
      <c r="W22" s="3542"/>
      <c r="AR22" s="3489">
        <v>0</v>
      </c>
    </row>
    <row customHeight="1" ht="17.25" hidden="1">
      <c r="D23" s="3528">
        <v>2</v>
      </c>
      <c r="E23" s="3529" t="s">
        <v>182</v>
      </c>
      <c r="F23" s="3530" t="s">
        <v>19</v>
      </c>
      <c r="G23" s="3529"/>
      <c r="H23" s="3531"/>
      <c r="I23" s="3532"/>
      <c r="J23" s="247"/>
      <c r="K23" s="248"/>
      <c r="L23" s="248"/>
      <c r="M23" s="248"/>
      <c r="N23" s="3533"/>
      <c r="O23" s="248"/>
      <c r="P23" s="248"/>
      <c r="Q23" s="248"/>
      <c r="R23" s="250"/>
      <c r="S23" s="248"/>
      <c r="T23" s="248"/>
      <c r="U23" s="248"/>
      <c r="V23" s="250"/>
      <c r="W23" s="251"/>
      <c r="AC23" s="3534" t="s">
        <v>177</v>
      </c>
      <c r="AD23" s="3534" t="s">
        <v>178</v>
      </c>
      <c r="AE23" s="3534" t="s">
        <v>179</v>
      </c>
      <c r="AF23" s="3534" t="s">
        <v>180</v>
      </c>
      <c r="AG23" s="3534" t="s">
        <v>181</v>
      </c>
      <c r="AH23" s="3534" t="str">
        <f>IF($E$23=0,"",$E$23)</f>
        <v>Тарифы на тепловую энергию (мощность), поставляемую теплоснабжающими организациями потребителям, другим теплоснабжающим организациям</v>
      </c>
      <c r="AI23" s="3534" t="str">
        <f>IF($G$23=0,"",$G$23)</f>
        <v/>
      </c>
      <c r="AJ23" s="3534" t="str">
        <f>IF($J$23=0,"",$J$23)</f>
        <v/>
      </c>
      <c r="AK23" s="3534" t="str">
        <f>IF($K$23="нет","без дифференциации",IF($N$23=0,"",$N$23))</f>
        <v/>
      </c>
      <c r="AL23" s="3534" t="str">
        <f>IF($O$23="нет","без дифференциации",IF($R$23=0,"",$R$23))</f>
        <v/>
      </c>
      <c r="AM23" s="3534" t="str">
        <f>IF($S$23="нет","без дифференциации",IF($V$23=0,"",$V$23))</f>
        <v/>
      </c>
      <c r="AN23" s="263">
        <f>$I$23</f>
        <v>0</v>
      </c>
      <c r="AO23" s="3534" t="str">
        <f>$I$23&amp;"."&amp;$M$23</f>
        <v>.</v>
      </c>
      <c r="AP23" s="3510" t="str">
        <f>$I$23&amp;"."&amp;$M$23&amp;"."&amp;$Q$23</f>
        <v>..</v>
      </c>
      <c r="AQ23" s="3510" t="str">
        <f>$I$23&amp;"."&amp;$M$23&amp;"."&amp;$Q$23&amp;"."&amp;$U$23</f>
        <v>...</v>
      </c>
      <c r="AR23" s="3489">
        <v>0</v>
      </c>
    </row>
    <row customHeight="1" ht="17.25" hidden="1">
      <c r="D24" s="3528"/>
      <c r="E24" s="3529"/>
      <c r="F24" s="3535"/>
      <c r="G24" s="3529"/>
      <c r="H24" s="3536"/>
      <c r="W24" s="3537"/>
      <c r="AR24" s="3489">
        <v>0</v>
      </c>
    </row>
    <row customHeight="1" ht="17.25" hidden="1">
      <c r="D25" s="215"/>
      <c r="E25" s="256"/>
      <c r="F25" s="3535"/>
      <c r="G25" s="256"/>
      <c r="H25" s="3536"/>
      <c r="W25" s="3537"/>
      <c r="AR25" s="3489">
        <v>0</v>
      </c>
    </row>
    <row customHeight="1" ht="17.25" hidden="1">
      <c r="D26" s="215"/>
      <c r="E26" s="256"/>
      <c r="F26" s="3535"/>
      <c r="G26" s="256"/>
      <c r="H26" s="3536"/>
      <c r="W26" s="3537"/>
      <c r="AR26" s="3489">
        <v>0</v>
      </c>
    </row>
    <row customHeight="1" ht="17.25" hidden="1">
      <c r="D27" s="215"/>
      <c r="E27" s="256"/>
      <c r="F27" s="3538"/>
      <c r="G27" s="256"/>
      <c r="H27" s="3539"/>
      <c r="I27" s="3540"/>
      <c r="J27" s="3540"/>
      <c r="K27" s="3540"/>
      <c r="L27" s="3540"/>
      <c r="M27" s="3540"/>
      <c r="N27" s="3540"/>
      <c r="O27" s="3540"/>
      <c r="P27" s="3540"/>
      <c r="Q27" s="3540"/>
      <c r="R27" s="3540"/>
      <c r="S27" s="3541"/>
      <c r="T27" s="3541"/>
      <c r="U27" s="3541"/>
      <c r="V27" s="3541"/>
      <c r="W27" s="3542"/>
      <c r="AR27" s="3489">
        <v>0</v>
      </c>
    </row>
    <row customHeight="1" ht="17.25" hidden="1">
      <c r="D28" s="3528">
        <v>3</v>
      </c>
      <c r="E28" s="3529" t="s">
        <v>183</v>
      </c>
      <c r="F28" s="3530" t="s">
        <v>19</v>
      </c>
      <c r="G28" s="3529"/>
      <c r="H28" s="3531"/>
      <c r="I28" s="3532"/>
      <c r="J28" s="247"/>
      <c r="K28" s="248"/>
      <c r="L28" s="248"/>
      <c r="M28" s="248"/>
      <c r="N28" s="3533"/>
      <c r="O28" s="248"/>
      <c r="P28" s="248"/>
      <c r="Q28" s="248"/>
      <c r="R28" s="250"/>
      <c r="S28" s="248"/>
      <c r="T28" s="248"/>
      <c r="U28" s="248"/>
      <c r="V28" s="250"/>
      <c r="W28" s="251"/>
      <c r="AC28" s="3534" t="s">
        <v>184</v>
      </c>
      <c r="AD28" s="3534" t="s">
        <v>185</v>
      </c>
      <c r="AE28" s="3534" t="s">
        <v>186</v>
      </c>
      <c r="AF28" s="3534" t="s">
        <v>187</v>
      </c>
      <c r="AG28" s="3534" t="s">
        <v>188</v>
      </c>
      <c r="AH28" s="3534" t="str">
        <f>IF($E$28=0,"",$E$28)</f>
        <v>Тарифы на теплоноситель, поставляемый теплоснабжающими организациями потребителям, другим теплоснабжающим организациям</v>
      </c>
      <c r="AI28" s="3534" t="str">
        <f>IF($G$28=0,"",$G$28)</f>
        <v/>
      </c>
      <c r="AJ28" s="3534" t="str">
        <f>IF($J$28=0,"",$J$28)</f>
        <v/>
      </c>
      <c r="AK28" s="3534" t="str">
        <f>IF($K$28="нет","без дифференциации",IF($N$28=0,"",$N$28))</f>
        <v/>
      </c>
      <c r="AL28" s="3534" t="str">
        <f>IF($O$28="нет","без дифференциации",IF($R$28=0,"",$R$28))</f>
        <v/>
      </c>
      <c r="AM28" s="3534" t="str">
        <f>IF($S$28="нет","без дифференциации",IF($V$28=0,"",$V$28))</f>
        <v/>
      </c>
      <c r="AN28" s="263">
        <f>$I$28</f>
        <v>0</v>
      </c>
      <c r="AO28" s="3534" t="str">
        <f>$I$28&amp;"."&amp;$M$28</f>
        <v>.</v>
      </c>
      <c r="AP28" s="3510" t="str">
        <f>$I$28&amp;"."&amp;$M$28&amp;"."&amp;$Q$28</f>
        <v>..</v>
      </c>
      <c r="AQ28" s="3510" t="str">
        <f>$I$28&amp;"."&amp;$M$28&amp;"."&amp;$Q$28&amp;"."&amp;$U$28</f>
        <v>...</v>
      </c>
      <c r="AR28" s="3489">
        <v>0</v>
      </c>
    </row>
    <row customHeight="1" ht="17.25" hidden="1">
      <c r="D29" s="3528"/>
      <c r="E29" s="3529"/>
      <c r="F29" s="3535"/>
      <c r="G29" s="3529"/>
      <c r="H29" s="3536"/>
      <c r="W29" s="3537"/>
      <c r="AR29" s="3489">
        <v>0</v>
      </c>
    </row>
    <row customHeight="1" ht="17.25" hidden="1">
      <c r="D30" s="215"/>
      <c r="E30" s="256"/>
      <c r="F30" s="3535"/>
      <c r="G30" s="256"/>
      <c r="H30" s="3536"/>
      <c r="W30" s="3537"/>
      <c r="AR30" s="3489">
        <v>0</v>
      </c>
    </row>
    <row customHeight="1" ht="17.25" hidden="1">
      <c r="D31" s="215"/>
      <c r="E31" s="256"/>
      <c r="F31" s="3535"/>
      <c r="G31" s="256"/>
      <c r="H31" s="3536"/>
      <c r="W31" s="3537"/>
      <c r="AR31" s="3489">
        <v>0</v>
      </c>
    </row>
    <row customHeight="1" ht="17.25" hidden="1">
      <c r="D32" s="215"/>
      <c r="E32" s="256"/>
      <c r="F32" s="3538"/>
      <c r="G32" s="256"/>
      <c r="H32" s="3539"/>
      <c r="I32" s="3540"/>
      <c r="J32" s="3540"/>
      <c r="K32" s="3540"/>
      <c r="L32" s="3540"/>
      <c r="M32" s="3540"/>
      <c r="N32" s="3540"/>
      <c r="O32" s="3540"/>
      <c r="P32" s="3540"/>
      <c r="Q32" s="3540"/>
      <c r="R32" s="3540"/>
      <c r="S32" s="3541"/>
      <c r="T32" s="3541"/>
      <c r="U32" s="3541"/>
      <c r="V32" s="3541"/>
      <c r="W32" s="3542"/>
      <c r="AR32" s="3489">
        <v>0</v>
      </c>
    </row>
    <row customHeight="1" ht="17.25" hidden="1">
      <c r="D33" s="3528">
        <v>4</v>
      </c>
      <c r="E33" s="3529" t="s">
        <v>189</v>
      </c>
      <c r="F33" s="3530" t="s">
        <v>19</v>
      </c>
      <c r="G33" s="3529"/>
      <c r="H33" s="3531"/>
      <c r="I33" s="3532"/>
      <c r="J33" s="247"/>
      <c r="K33" s="248"/>
      <c r="L33" s="248"/>
      <c r="M33" s="248"/>
      <c r="N33" s="3533"/>
      <c r="O33" s="248"/>
      <c r="P33" s="248"/>
      <c r="Q33" s="248"/>
      <c r="R33" s="250"/>
      <c r="S33" s="248"/>
      <c r="T33" s="248"/>
      <c r="U33" s="248"/>
      <c r="V33" s="250"/>
      <c r="W33" s="251"/>
      <c r="AC33" s="3534" t="s">
        <v>190</v>
      </c>
      <c r="AD33" s="3534" t="s">
        <v>191</v>
      </c>
      <c r="AE33" s="3534" t="s">
        <v>192</v>
      </c>
      <c r="AF33" s="3534" t="s">
        <v>193</v>
      </c>
      <c r="AG33" s="3534" t="s">
        <v>194</v>
      </c>
      <c r="AH33" s="35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3534" t="str">
        <f>IF($G$33=0,"",$G$33)</f>
        <v/>
      </c>
      <c r="AJ33" s="3534" t="str">
        <f>IF($J$33=0,"",$J$33)</f>
        <v/>
      </c>
      <c r="AK33" s="3534" t="str">
        <f>IF($K$33="нет","без дифференциации",IF($N$33=0,"",$N$33))</f>
        <v/>
      </c>
      <c r="AL33" s="3534" t="str">
        <f>IF($O$33="нет","без дифференциации",IF($R$33=0,"",$R$33))</f>
        <v/>
      </c>
      <c r="AM33" s="3534" t="str">
        <f>IF($S$33="нет","без дифференциации",IF($V$33=0,"",$V$33))</f>
        <v/>
      </c>
      <c r="AN33" s="263">
        <f>$I$33</f>
        <v>0</v>
      </c>
      <c r="AO33" s="3534" t="str">
        <f>$I$33&amp;"."&amp;$M$33</f>
        <v>.</v>
      </c>
      <c r="AP33" s="3510" t="str">
        <f>$I$33&amp;"."&amp;$M$33&amp;"."&amp;$Q$33</f>
        <v>..</v>
      </c>
      <c r="AQ33" s="3510" t="str">
        <f>$I$33&amp;"."&amp;$M$33&amp;"."&amp;$Q$33&amp;"."&amp;$U$33</f>
        <v>...</v>
      </c>
      <c r="AR33" s="3489">
        <v>0</v>
      </c>
    </row>
    <row customHeight="1" ht="17.25" hidden="1">
      <c r="D34" s="3528"/>
      <c r="E34" s="3529"/>
      <c r="F34" s="3535"/>
      <c r="G34" s="3529"/>
      <c r="H34" s="3536"/>
      <c r="W34" s="3537"/>
      <c r="AR34" s="3489">
        <v>0</v>
      </c>
    </row>
    <row customHeight="1" ht="17.25" hidden="1">
      <c r="D35" s="215"/>
      <c r="E35" s="256"/>
      <c r="F35" s="3535"/>
      <c r="G35" s="256"/>
      <c r="H35" s="3536"/>
      <c r="W35" s="3537"/>
      <c r="AR35" s="3489">
        <v>0</v>
      </c>
    </row>
    <row customHeight="1" ht="17.25" hidden="1">
      <c r="D36" s="215"/>
      <c r="E36" s="256"/>
      <c r="F36" s="3535"/>
      <c r="G36" s="256"/>
      <c r="H36" s="3536"/>
      <c r="W36" s="3537"/>
      <c r="AR36" s="3489">
        <v>0</v>
      </c>
    </row>
    <row customHeight="1" ht="17.25" hidden="1">
      <c r="D37" s="215"/>
      <c r="E37" s="256"/>
      <c r="F37" s="3538"/>
      <c r="G37" s="256"/>
      <c r="H37" s="3539"/>
      <c r="I37" s="3540"/>
      <c r="J37" s="3540"/>
      <c r="K37" s="3540"/>
      <c r="L37" s="3540"/>
      <c r="M37" s="3540"/>
      <c r="N37" s="3540"/>
      <c r="O37" s="3540"/>
      <c r="P37" s="3540"/>
      <c r="Q37" s="3540"/>
      <c r="R37" s="3540"/>
      <c r="S37" s="3541"/>
      <c r="T37" s="3541"/>
      <c r="U37" s="3541"/>
      <c r="V37" s="3541"/>
      <c r="W37" s="3542"/>
      <c r="AR37" s="3489">
        <v>0</v>
      </c>
    </row>
    <row customHeight="1" ht="17.25" hidden="1">
      <c r="D38" s="3528">
        <v>5</v>
      </c>
      <c r="E38" s="3529" t="s">
        <v>195</v>
      </c>
      <c r="F38" s="3530" t="s">
        <v>19</v>
      </c>
      <c r="G38" s="3529"/>
      <c r="H38" s="3531"/>
      <c r="I38" s="3532"/>
      <c r="J38" s="247"/>
      <c r="K38" s="248"/>
      <c r="L38" s="248"/>
      <c r="M38" s="248"/>
      <c r="N38" s="3533"/>
      <c r="O38" s="248"/>
      <c r="P38" s="248"/>
      <c r="Q38" s="248"/>
      <c r="R38" s="250"/>
      <c r="S38" s="248"/>
      <c r="T38" s="248"/>
      <c r="U38" s="248"/>
      <c r="V38" s="250"/>
      <c r="W38" s="251"/>
      <c r="AC38" s="3534" t="s">
        <v>196</v>
      </c>
      <c r="AD38" s="3534" t="s">
        <v>197</v>
      </c>
      <c r="AE38" s="3534" t="s">
        <v>198</v>
      </c>
      <c r="AF38" s="3534" t="s">
        <v>199</v>
      </c>
      <c r="AG38" s="3534" t="s">
        <v>200</v>
      </c>
      <c r="AH38" s="3534" t="str">
        <f>IF($E$38=0,"",$E$38)</f>
        <v>Тарифы на услуги по передаче тепловой энергии</v>
      </c>
      <c r="AI38" s="3534" t="str">
        <f>IF($G$38=0,"",$G$38)</f>
        <v/>
      </c>
      <c r="AJ38" s="3534" t="str">
        <f>IF($J$38=0,"",$J$38)</f>
        <v/>
      </c>
      <c r="AK38" s="3534" t="str">
        <f>IF($K$38="нет","без дифференциации",IF($N$38=0,"",$N$38))</f>
        <v/>
      </c>
      <c r="AL38" s="3534" t="str">
        <f>IF($O$38="нет","без дифференциации",IF($R$38=0,"",$R$38))</f>
        <v/>
      </c>
      <c r="AM38" s="3534" t="str">
        <f>IF($S$38="нет","без дифференциации",IF($V$38=0,"",$V$38))</f>
        <v/>
      </c>
      <c r="AN38" s="263">
        <f>$I$38</f>
        <v>0</v>
      </c>
      <c r="AO38" s="3534" t="str">
        <f>$I$38&amp;"."&amp;$M$38</f>
        <v>.</v>
      </c>
      <c r="AP38" s="3510" t="str">
        <f>$I$38&amp;"."&amp;$M$38&amp;"."&amp;$Q$38</f>
        <v>..</v>
      </c>
      <c r="AQ38" s="3510" t="str">
        <f>$I$38&amp;"."&amp;$M$38&amp;"."&amp;$Q$38&amp;"."&amp;$U$38</f>
        <v>...</v>
      </c>
      <c r="AR38" s="3489">
        <v>0</v>
      </c>
    </row>
    <row customHeight="1" ht="17.25" hidden="1">
      <c r="D39" s="3528"/>
      <c r="E39" s="3529"/>
      <c r="F39" s="3535"/>
      <c r="G39" s="3529"/>
      <c r="H39" s="3536"/>
      <c r="W39" s="3537"/>
      <c r="AR39" s="3489">
        <v>0</v>
      </c>
    </row>
    <row customHeight="1" ht="17.25" hidden="1">
      <c r="D40" s="215"/>
      <c r="E40" s="256"/>
      <c r="F40" s="3535"/>
      <c r="G40" s="256"/>
      <c r="H40" s="3536"/>
      <c r="W40" s="3537"/>
      <c r="AR40" s="3489">
        <v>0</v>
      </c>
    </row>
    <row customHeight="1" ht="17.25" hidden="1">
      <c r="D41" s="215"/>
      <c r="E41" s="256"/>
      <c r="F41" s="3535"/>
      <c r="G41" s="256"/>
      <c r="H41" s="3536"/>
      <c r="W41" s="3537"/>
      <c r="AR41" s="3489">
        <v>0</v>
      </c>
    </row>
    <row customHeight="1" ht="17.25" hidden="1">
      <c r="D42" s="215"/>
      <c r="E42" s="256"/>
      <c r="F42" s="3538"/>
      <c r="G42" s="256"/>
      <c r="H42" s="3539"/>
      <c r="I42" s="3540"/>
      <c r="J42" s="3540"/>
      <c r="K42" s="3540"/>
      <c r="L42" s="3540"/>
      <c r="M42" s="3540"/>
      <c r="N42" s="3540"/>
      <c r="O42" s="3540"/>
      <c r="P42" s="3540"/>
      <c r="Q42" s="3540"/>
      <c r="R42" s="3540"/>
      <c r="S42" s="3541"/>
      <c r="T42" s="3541"/>
      <c r="U42" s="3541"/>
      <c r="V42" s="3541"/>
      <c r="W42" s="3542"/>
      <c r="AR42" s="3489">
        <v>0</v>
      </c>
    </row>
    <row customHeight="1" ht="17.25" hidden="1">
      <c r="D43" s="3528">
        <v>6</v>
      </c>
      <c r="E43" s="3529" t="s">
        <v>201</v>
      </c>
      <c r="F43" s="3530" t="s">
        <v>19</v>
      </c>
      <c r="G43" s="3529"/>
      <c r="H43" s="3531"/>
      <c r="I43" s="3532"/>
      <c r="J43" s="247"/>
      <c r="K43" s="248"/>
      <c r="L43" s="248"/>
      <c r="M43" s="248"/>
      <c r="N43" s="3533"/>
      <c r="O43" s="248"/>
      <c r="P43" s="248"/>
      <c r="Q43" s="248"/>
      <c r="R43" s="250"/>
      <c r="S43" s="248"/>
      <c r="T43" s="248"/>
      <c r="U43" s="248"/>
      <c r="V43" s="250"/>
      <c r="W43" s="251"/>
      <c r="AC43" s="3534" t="s">
        <v>202</v>
      </c>
      <c r="AD43" s="3534" t="s">
        <v>203</v>
      </c>
      <c r="AE43" s="3534" t="s">
        <v>204</v>
      </c>
      <c r="AF43" s="3534" t="s">
        <v>205</v>
      </c>
      <c r="AG43" s="3534" t="s">
        <v>206</v>
      </c>
      <c r="AH43" s="3534" t="str">
        <f>IF($E$43=0,"",$E$43)</f>
        <v>Тарифы на услуги по передаче теплоносителя</v>
      </c>
      <c r="AI43" s="3534" t="str">
        <f>IF($G$43=0,"",$G$43)</f>
        <v/>
      </c>
      <c r="AJ43" s="3534" t="str">
        <f>IF($J$43=0,"",$J$43)</f>
        <v/>
      </c>
      <c r="AK43" s="3534" t="str">
        <f>IF($K$43="нет","без дифференциации",IF($N$43=0,"",$N$43))</f>
        <v/>
      </c>
      <c r="AL43" s="3534" t="str">
        <f>IF($O$43="нет","без дифференциации",IF($R$43=0,"",$R$43))</f>
        <v/>
      </c>
      <c r="AM43" s="3534" t="str">
        <f>IF($S$43="нет","без дифференциации",IF($V$43=0,"",$V$43))</f>
        <v/>
      </c>
      <c r="AN43" s="263">
        <f>$I$43</f>
        <v>0</v>
      </c>
      <c r="AO43" s="3534" t="str">
        <f>$I$43&amp;"."&amp;$M$43</f>
        <v>.</v>
      </c>
      <c r="AP43" s="3510" t="str">
        <f>$I$43&amp;"."&amp;$M$43&amp;"."&amp;$Q$43</f>
        <v>..</v>
      </c>
      <c r="AQ43" s="3510" t="str">
        <f>$I$43&amp;"."&amp;$M$43&amp;"."&amp;$Q$43&amp;"."&amp;$U$43</f>
        <v>...</v>
      </c>
      <c r="AR43" s="3489">
        <v>0</v>
      </c>
    </row>
    <row customHeight="1" ht="17.25" hidden="1">
      <c r="D44" s="3528"/>
      <c r="E44" s="3529"/>
      <c r="F44" s="3535"/>
      <c r="G44" s="3529"/>
      <c r="H44" s="3536"/>
      <c r="W44" s="3537"/>
      <c r="AR44" s="3489">
        <v>0</v>
      </c>
    </row>
    <row customHeight="1" ht="17.25" hidden="1">
      <c r="D45" s="215"/>
      <c r="E45" s="256"/>
      <c r="F45" s="3535"/>
      <c r="G45" s="256"/>
      <c r="H45" s="3536"/>
      <c r="W45" s="3537"/>
      <c r="AR45" s="3489">
        <v>0</v>
      </c>
    </row>
    <row customHeight="1" ht="17.25" hidden="1">
      <c r="D46" s="215"/>
      <c r="E46" s="256"/>
      <c r="F46" s="3535"/>
      <c r="G46" s="256"/>
      <c r="H46" s="3536"/>
      <c r="W46" s="3537"/>
      <c r="AR46" s="3489">
        <v>0</v>
      </c>
    </row>
    <row customHeight="1" ht="17.25" hidden="1">
      <c r="D47" s="215"/>
      <c r="E47" s="256"/>
      <c r="F47" s="3538"/>
      <c r="G47" s="256"/>
      <c r="H47" s="3539"/>
      <c r="I47" s="3540"/>
      <c r="J47" s="3540"/>
      <c r="K47" s="3540"/>
      <c r="L47" s="3540"/>
      <c r="M47" s="3540"/>
      <c r="N47" s="3540"/>
      <c r="O47" s="3540"/>
      <c r="P47" s="3540"/>
      <c r="Q47" s="3540"/>
      <c r="R47" s="3540"/>
      <c r="S47" s="3541"/>
      <c r="T47" s="3541"/>
      <c r="U47" s="3541"/>
      <c r="V47" s="3541"/>
      <c r="W47" s="3542"/>
      <c r="AR47" s="3489">
        <v>0</v>
      </c>
    </row>
    <row customHeight="1" ht="17.25" hidden="1">
      <c r="D48" s="3545">
        <v>7</v>
      </c>
      <c r="E48" s="3546" t="s">
        <v>207</v>
      </c>
      <c r="F48" s="3530" t="s">
        <v>19</v>
      </c>
      <c r="G48" s="3546"/>
      <c r="H48" s="3531"/>
      <c r="I48" s="3532"/>
      <c r="J48" s="247"/>
      <c r="K48" s="248"/>
      <c r="L48" s="248"/>
      <c r="M48" s="248"/>
      <c r="N48" s="3533"/>
      <c r="O48" s="248"/>
      <c r="P48" s="248"/>
      <c r="Q48" s="248"/>
      <c r="R48" s="250"/>
      <c r="S48" s="248"/>
      <c r="T48" s="248"/>
      <c r="U48" s="248"/>
      <c r="V48" s="250"/>
      <c r="W48" s="251"/>
      <c r="AC48" s="3534" t="s">
        <v>208</v>
      </c>
      <c r="AD48" s="3534" t="s">
        <v>209</v>
      </c>
      <c r="AE48" s="3534" t="s">
        <v>210</v>
      </c>
      <c r="AF48" s="3534" t="s">
        <v>211</v>
      </c>
      <c r="AG48" s="3534" t="s">
        <v>212</v>
      </c>
      <c r="AH48" s="3534" t="str">
        <f>IF($E$48=0,"",$E$48)</f>
        <v>Плата за услуги по поддержанию резервной тепловой мощности при отсутствии потребления тепловой энергии</v>
      </c>
      <c r="AI48" s="3534" t="str">
        <f>IF($G$48=0,"",$G$48)</f>
        <v/>
      </c>
      <c r="AJ48" s="3534" t="str">
        <f>IF($J$48=0,"",$J$48)</f>
        <v/>
      </c>
      <c r="AK48" s="3534" t="str">
        <f>IF($K$48="нет","без дифференциации",IF($N$48=0,"",$N$48))</f>
        <v/>
      </c>
      <c r="AL48" s="3534" t="str">
        <f>IF($O$48="нет","без дифференциации",IF($R$48=0,"",$R$48))</f>
        <v/>
      </c>
      <c r="AM48" s="3534" t="str">
        <f>IF($S$48="нет","без дифференциации",IF($V$48=0,"",$V$48))</f>
        <v/>
      </c>
      <c r="AN48" s="263">
        <f>$I$48</f>
        <v>0</v>
      </c>
      <c r="AO48" s="3534" t="str">
        <f>$I$48&amp;"."&amp;$M$48</f>
        <v>.</v>
      </c>
      <c r="AP48" s="3510" t="str">
        <f>$I$48&amp;"."&amp;$M$48&amp;"."&amp;$Q$48</f>
        <v>..</v>
      </c>
      <c r="AQ48" s="3510" t="str">
        <f>$I$48&amp;"."&amp;$M$48&amp;"."&amp;$Q$48&amp;"."&amp;$U$48</f>
        <v>...</v>
      </c>
      <c r="AR48" s="3489">
        <v>0</v>
      </c>
    </row>
    <row customHeight="1" ht="17.25" hidden="1">
      <c r="D49" s="3547"/>
      <c r="E49" s="3548"/>
      <c r="F49" s="3535"/>
      <c r="G49" s="3548"/>
      <c r="H49" s="3536"/>
      <c r="W49" s="3537"/>
      <c r="AR49" s="3489">
        <v>0</v>
      </c>
    </row>
    <row customHeight="1" ht="17.25" hidden="1">
      <c r="D50" s="3547"/>
      <c r="E50" s="3548"/>
      <c r="F50" s="3535"/>
      <c r="G50" s="3548"/>
      <c r="H50" s="3536"/>
      <c r="W50" s="3537"/>
      <c r="AR50" s="3489">
        <v>0</v>
      </c>
    </row>
    <row customHeight="1" ht="17.25" hidden="1">
      <c r="D51" s="3547"/>
      <c r="E51" s="3548"/>
      <c r="F51" s="3535"/>
      <c r="G51" s="3548"/>
      <c r="H51" s="3536"/>
      <c r="W51" s="3537"/>
      <c r="AR51" s="3489">
        <v>0</v>
      </c>
    </row>
    <row customHeight="1" ht="17.25" hidden="1">
      <c r="D52" s="3549"/>
      <c r="E52" s="3550"/>
      <c r="F52" s="3538"/>
      <c r="G52" s="3550"/>
      <c r="H52" s="3539"/>
      <c r="I52" s="3540"/>
      <c r="J52" s="3540"/>
      <c r="K52" s="3540"/>
      <c r="L52" s="3540"/>
      <c r="M52" s="3540"/>
      <c r="N52" s="3540"/>
      <c r="O52" s="3540"/>
      <c r="P52" s="3540"/>
      <c r="Q52" s="3540"/>
      <c r="R52" s="3540"/>
      <c r="S52" s="3541"/>
      <c r="T52" s="3541"/>
      <c r="U52" s="3541"/>
      <c r="V52" s="3541"/>
      <c r="W52" s="3542"/>
      <c r="AR52" s="3489">
        <v>0</v>
      </c>
    </row>
    <row customHeight="1" ht="17.25" hidden="1">
      <c r="D53" s="3528">
        <v>8</v>
      </c>
      <c r="E53" s="3529" t="s">
        <v>213</v>
      </c>
      <c r="F53" s="3530" t="s">
        <v>19</v>
      </c>
      <c r="G53" s="3529"/>
      <c r="H53" s="3531"/>
      <c r="I53" s="3532"/>
      <c r="J53" s="247"/>
      <c r="K53" s="248"/>
      <c r="L53" s="248"/>
      <c r="M53" s="248"/>
      <c r="N53" s="3533"/>
      <c r="O53" s="248"/>
      <c r="P53" s="248"/>
      <c r="Q53" s="248"/>
      <c r="R53" s="250"/>
      <c r="S53" s="248"/>
      <c r="T53" s="248"/>
      <c r="U53" s="248"/>
      <c r="V53" s="250"/>
      <c r="W53" s="251"/>
      <c r="AC53" s="3534" t="s">
        <v>214</v>
      </c>
      <c r="AD53" s="3534" t="s">
        <v>215</v>
      </c>
      <c r="AE53" s="3534" t="s">
        <v>216</v>
      </c>
      <c r="AF53" s="3534" t="s">
        <v>217</v>
      </c>
      <c r="AG53" s="3534" t="s">
        <v>218</v>
      </c>
      <c r="AH53" s="3534" t="str">
        <f>IF($E$53=0,"",$E$53)</f>
        <v>Плата за подключение (технологическое присоединение) к системе теплоснабжения</v>
      </c>
      <c r="AI53" s="3534" t="str">
        <f>IF($G$53=0,"",$G$53)</f>
        <v/>
      </c>
      <c r="AJ53" s="3534" t="str">
        <f>IF($J$53=0,"",$J$53)</f>
        <v/>
      </c>
      <c r="AK53" s="3534" t="str">
        <f>IF($K$53="нет","без дифференциации",IF($N$53=0,"",$N$53))</f>
        <v/>
      </c>
      <c r="AL53" s="3534" t="str">
        <f>IF($O$53="нет","без дифференциации",IF($R$53=0,"",$R$53))</f>
        <v/>
      </c>
      <c r="AM53" s="3534" t="str">
        <f>IF($S$53="нет","без дифференциации",IF($V$53=0,"",$V$53))</f>
        <v/>
      </c>
      <c r="AN53" s="263">
        <f>$I$53</f>
        <v>0</v>
      </c>
      <c r="AO53" s="3534" t="str">
        <f>$I$53&amp;"."&amp;$M$53</f>
        <v>.</v>
      </c>
      <c r="AP53" s="3510" t="str">
        <f>$I$53&amp;"."&amp;$M$53&amp;"."&amp;$Q$53</f>
        <v>..</v>
      </c>
      <c r="AQ53" s="3510" t="str">
        <f>$I$53&amp;"."&amp;$M$53&amp;"."&amp;$Q$53&amp;"."&amp;$U$53</f>
        <v>...</v>
      </c>
      <c r="AR53" s="3489">
        <v>0</v>
      </c>
    </row>
    <row customHeight="1" ht="17.25" hidden="1">
      <c r="D54" s="3528"/>
      <c r="E54" s="3529"/>
      <c r="F54" s="3535"/>
      <c r="G54" s="3529"/>
      <c r="H54" s="3536"/>
      <c r="W54" s="3537"/>
      <c r="AR54" s="3489">
        <v>0</v>
      </c>
    </row>
    <row customHeight="1" ht="17.25" hidden="1">
      <c r="D55" s="215"/>
      <c r="E55" s="256"/>
      <c r="F55" s="3535"/>
      <c r="G55" s="256"/>
      <c r="H55" s="3536"/>
      <c r="W55" s="3537"/>
      <c r="AR55" s="3489">
        <v>0</v>
      </c>
    </row>
    <row customHeight="1" ht="17.25" hidden="1">
      <c r="D56" s="215"/>
      <c r="E56" s="256"/>
      <c r="F56" s="3535"/>
      <c r="G56" s="256"/>
      <c r="H56" s="3536"/>
      <c r="W56" s="3537"/>
      <c r="AR56" s="3489">
        <v>0</v>
      </c>
    </row>
    <row customHeight="1" ht="17.25" hidden="1">
      <c r="D57" s="215"/>
      <c r="E57" s="256"/>
      <c r="F57" s="3538"/>
      <c r="G57" s="256"/>
      <c r="H57" s="3539"/>
      <c r="I57" s="3540"/>
      <c r="J57" s="3540"/>
      <c r="K57" s="3540"/>
      <c r="L57" s="3540"/>
      <c r="M57" s="3540"/>
      <c r="N57" s="3540"/>
      <c r="O57" s="3540"/>
      <c r="P57" s="3540"/>
      <c r="Q57" s="3540"/>
      <c r="R57" s="3540"/>
      <c r="S57" s="3541"/>
      <c r="T57" s="3541"/>
      <c r="U57" s="3541"/>
      <c r="V57" s="3541"/>
      <c r="W57" s="3542"/>
      <c r="AR57" s="3489">
        <v>0</v>
      </c>
    </row>
    <row customHeight="1" ht="17.25" hidden="1">
      <c r="D58" s="3528">
        <v>9</v>
      </c>
      <c r="E58" s="3529" t="s">
        <v>219</v>
      </c>
      <c r="F58" s="3530" t="s">
        <v>19</v>
      </c>
      <c r="G58" s="3529"/>
      <c r="H58" s="3531"/>
      <c r="I58" s="3532"/>
      <c r="J58" s="247"/>
      <c r="K58" s="248"/>
      <c r="L58" s="248"/>
      <c r="M58" s="248"/>
      <c r="N58" s="3533"/>
      <c r="O58" s="248"/>
      <c r="P58" s="248"/>
      <c r="Q58" s="248"/>
      <c r="R58" s="250"/>
      <c r="S58" s="248"/>
      <c r="T58" s="248"/>
      <c r="U58" s="248"/>
      <c r="V58" s="250"/>
      <c r="W58" s="251"/>
      <c r="AC58" s="3534" t="s">
        <v>220</v>
      </c>
      <c r="AD58" s="3534" t="s">
        <v>221</v>
      </c>
      <c r="AE58" s="3534" t="s">
        <v>222</v>
      </c>
      <c r="AF58" s="3534" t="s">
        <v>223</v>
      </c>
      <c r="AG58" s="3534" t="s">
        <v>224</v>
      </c>
      <c r="AH58" s="3534" t="str">
        <f>IF($E$58=0,"",$E$58)</f>
        <v>Плата за подключение (технологическое присоединение) к системе теплоснабжения (индивидуальная)</v>
      </c>
      <c r="AI58" s="3534" t="str">
        <f>IF($G$58=0,"",$G$58)</f>
        <v/>
      </c>
      <c r="AJ58" s="3534" t="str">
        <f>IF($J$58=0,"",$J$58)</f>
        <v/>
      </c>
      <c r="AK58" s="3534" t="str">
        <f>IF($K$58="нет","без дифференциации",IF($N$58=0,"",$N$58))</f>
        <v/>
      </c>
      <c r="AL58" s="3534" t="str">
        <f>IF($O$58="нет","без дифференциации",IF($R$58=0,"",$R$58))</f>
        <v/>
      </c>
      <c r="AM58" s="3534" t="str">
        <f>IF($S$58="нет","без дифференциации",IF($V$58=0,"",$V$58))</f>
        <v/>
      </c>
      <c r="AN58" s="263">
        <f>$I$58</f>
        <v>0</v>
      </c>
      <c r="AO58" s="3534" t="str">
        <f>$I$58&amp;"."&amp;$M$58</f>
        <v>.</v>
      </c>
      <c r="AP58" s="3510" t="str">
        <f>$I$58&amp;"."&amp;$M$58&amp;"."&amp;$Q$58</f>
        <v>..</v>
      </c>
      <c r="AQ58" s="3510" t="str">
        <f>$I$58&amp;"."&amp;$M$58&amp;"."&amp;$Q$58&amp;"."&amp;$U$58</f>
        <v>...</v>
      </c>
      <c r="AR58" s="3489">
        <v>0</v>
      </c>
    </row>
    <row customHeight="1" ht="17.25" hidden="1">
      <c r="D59" s="3528"/>
      <c r="E59" s="3529"/>
      <c r="F59" s="3535"/>
      <c r="G59" s="3529"/>
      <c r="H59" s="3536"/>
      <c r="W59" s="3537"/>
      <c r="AR59" s="3489">
        <v>0</v>
      </c>
    </row>
    <row customHeight="1" ht="17.25" hidden="1">
      <c r="D60" s="215"/>
      <c r="E60" s="256"/>
      <c r="F60" s="3535"/>
      <c r="G60" s="256"/>
      <c r="H60" s="3536"/>
      <c r="W60" s="3537"/>
      <c r="AR60" s="3489">
        <v>0</v>
      </c>
    </row>
    <row customHeight="1" ht="17.25" hidden="1">
      <c r="D61" s="215"/>
      <c r="E61" s="256"/>
      <c r="F61" s="3535"/>
      <c r="G61" s="256"/>
      <c r="H61" s="3536"/>
      <c r="W61" s="3537"/>
      <c r="AR61" s="3489">
        <v>0</v>
      </c>
    </row>
    <row customHeight="1" ht="17.25" hidden="1">
      <c r="D62" s="215"/>
      <c r="E62" s="256"/>
      <c r="F62" s="3538"/>
      <c r="G62" s="256"/>
      <c r="H62" s="3539"/>
      <c r="I62" s="3540"/>
      <c r="J62" s="3540"/>
      <c r="K62" s="3540"/>
      <c r="L62" s="3540"/>
      <c r="M62" s="3540"/>
      <c r="N62" s="3540"/>
      <c r="O62" s="3540"/>
      <c r="P62" s="3540"/>
      <c r="Q62" s="3540"/>
      <c r="R62" s="3540"/>
      <c r="S62" s="3541"/>
      <c r="T62" s="3541"/>
      <c r="U62" s="3541"/>
      <c r="V62" s="3541"/>
      <c r="W62" s="3542"/>
      <c r="AR62" s="3489">
        <v>0</v>
      </c>
    </row>
    <row customHeight="1" ht="17.25" hidden="1">
      <c r="D63" s="3528">
        <v>10</v>
      </c>
      <c r="E63" s="3529" t="s">
        <v>225</v>
      </c>
      <c r="F63" s="3530" t="s">
        <v>19</v>
      </c>
      <c r="G63" s="3529"/>
      <c r="H63" s="3531"/>
      <c r="I63" s="3532"/>
      <c r="J63" s="247"/>
      <c r="K63" s="248"/>
      <c r="L63" s="248"/>
      <c r="M63" s="248"/>
      <c r="N63" s="3533"/>
      <c r="O63" s="248"/>
      <c r="P63" s="248"/>
      <c r="Q63" s="248"/>
      <c r="R63" s="250"/>
      <c r="S63" s="248"/>
      <c r="T63" s="248"/>
      <c r="U63" s="248"/>
      <c r="V63" s="250"/>
      <c r="W63" s="251"/>
      <c r="AC63" s="3534" t="s">
        <v>226</v>
      </c>
      <c r="AD63" s="3534" t="s">
        <v>227</v>
      </c>
      <c r="AE63" s="3534" t="s">
        <v>228</v>
      </c>
      <c r="AF63" s="3534" t="s">
        <v>229</v>
      </c>
      <c r="AG63" s="3534" t="s">
        <v>230</v>
      </c>
      <c r="AH63" s="3534" t="str">
        <f>IF($E$63=0,"",$E$63)</f>
        <v>Предельный уровень цены на тепловую энергию (мощность), поставляемую теплоснабжающими организациями потребителям</v>
      </c>
      <c r="AI63" s="3534" t="str">
        <f>IF($G$63=0,"",$G$63)</f>
        <v/>
      </c>
      <c r="AJ63" s="3534" t="str">
        <f>IF($J$63=0,"",$J$63)</f>
        <v/>
      </c>
      <c r="AK63" s="3534" t="str">
        <f>IF($K$63="нет","без дифференциации",IF($N$63=0,"",$N$63))</f>
        <v/>
      </c>
      <c r="AL63" s="3534" t="str">
        <f>IF($O$63="нет","без дифференциации",IF($R$63=0,"",$R$63))</f>
        <v/>
      </c>
      <c r="AM63" s="3534" t="str">
        <f>IF($S$63="нет","без дифференциации",IF($V$63=0,"",$V$63))</f>
        <v/>
      </c>
      <c r="AN63" s="263">
        <f>$I$63</f>
        <v>0</v>
      </c>
      <c r="AO63" s="3534" t="str">
        <f>$I$63&amp;"."&amp;$M$63</f>
        <v>.</v>
      </c>
      <c r="AP63" s="3510" t="str">
        <f>$I$63&amp;"."&amp;$M$63&amp;"."&amp;$Q$63</f>
        <v>..</v>
      </c>
      <c r="AQ63" s="3510" t="str">
        <f>$I$63&amp;"."&amp;$M$63&amp;"."&amp;$Q$63&amp;"."&amp;$U$63</f>
        <v>...</v>
      </c>
      <c r="AR63" s="3489">
        <v>0</v>
      </c>
    </row>
    <row customHeight="1" ht="17.25" hidden="1">
      <c r="D64" s="3528"/>
      <c r="E64" s="3529"/>
      <c r="F64" s="3535"/>
      <c r="G64" s="3529"/>
      <c r="H64" s="3536"/>
      <c r="W64" s="3537"/>
      <c r="AR64" s="3489">
        <v>0</v>
      </c>
    </row>
    <row customHeight="1" ht="17.25" hidden="1">
      <c r="D65" s="215"/>
      <c r="E65" s="256"/>
      <c r="F65" s="3535"/>
      <c r="G65" s="256"/>
      <c r="H65" s="3536"/>
      <c r="W65" s="3537"/>
      <c r="AR65" s="3489">
        <v>0</v>
      </c>
    </row>
    <row customHeight="1" ht="17.25" hidden="1">
      <c r="D66" s="215"/>
      <c r="E66" s="256"/>
      <c r="F66" s="3535"/>
      <c r="G66" s="256"/>
      <c r="H66" s="3536"/>
      <c r="W66" s="3537"/>
      <c r="AR66" s="3489">
        <v>0</v>
      </c>
    </row>
    <row customHeight="1" ht="17.25" hidden="1">
      <c r="D67" s="215"/>
      <c r="E67" s="256"/>
      <c r="F67" s="3538"/>
      <c r="G67" s="256"/>
      <c r="H67" s="3539"/>
      <c r="I67" s="3540"/>
      <c r="J67" s="3540"/>
      <c r="K67" s="3540"/>
      <c r="L67" s="3540"/>
      <c r="M67" s="3540"/>
      <c r="N67" s="3540"/>
      <c r="O67" s="3540"/>
      <c r="P67" s="3540"/>
      <c r="Q67" s="3540"/>
      <c r="R67" s="3540"/>
      <c r="S67" s="3541"/>
      <c r="T67" s="3541"/>
      <c r="U67" s="3541"/>
      <c r="V67" s="3541"/>
      <c r="W67" s="3542"/>
      <c r="AR67" s="3489">
        <v>0</v>
      </c>
    </row>
    <row customHeight="1" ht="11.25" hidden="1">
      <c r="AR68" s="3489">
        <v>0</v>
      </c>
    </row>
    <row customHeight="1" ht="11.25" hidden="1">
      <c r="E69" s="3551" t="s">
        <v>231</v>
      </c>
      <c r="AR69" s="3489">
        <v>0</v>
      </c>
    </row>
    <row customHeight="1" ht="36.75" hidden="1">
      <c r="E70" s="3552" t="s">
        <v>232</v>
      </c>
      <c r="AR70" s="3489">
        <v>0</v>
      </c>
    </row>
    <row customHeight="1" ht="28.5" hidden="1">
      <c r="E71" s="3552" t="s">
        <v>233</v>
      </c>
      <c r="AR71" s="3489">
        <v>0</v>
      </c>
    </row>
    <row customHeight="1" ht="27" hidden="1">
      <c r="E72" s="3552" t="s">
        <v>234</v>
      </c>
      <c r="AR72" s="3489">
        <v>0</v>
      </c>
    </row>
    <row customHeight="1" ht="17.25" hidden="1">
      <c r="E73" s="3552" t="s">
        <v>235</v>
      </c>
      <c r="AR73" s="3489">
        <v>0</v>
      </c>
    </row>
    <row customHeight="1" ht="15" hidden="1">
      <c r="AR74" s="3489">
        <v>0</v>
      </c>
    </row>
    <row customHeight="1" ht="15" hidden="1">
      <c r="E75" s="3551" t="s">
        <v>236</v>
      </c>
      <c r="AR75" s="3489">
        <v>0</v>
      </c>
    </row>
    <row customHeight="1" ht="17.25" hidden="1">
      <c r="E76" s="3552" t="s">
        <v>237</v>
      </c>
      <c r="AR76" s="3489">
        <v>0</v>
      </c>
    </row>
    <row customHeight="1" ht="17.25" hidden="1">
      <c r="E77" s="3552" t="s">
        <v>238</v>
      </c>
      <c r="AR77" s="3489">
        <v>0</v>
      </c>
    </row>
    <row customHeight="1" ht="11.25" hidden="1">
      <c r="AR78" s="3489">
        <v>0</v>
      </c>
    </row>
    <row customHeight="1" ht="17.25" hidden="1">
      <c r="D79" s="3528">
        <v>1</v>
      </c>
      <c r="E79" s="3529" t="s">
        <v>239</v>
      </c>
      <c r="F79" s="3530" t="s">
        <v>19</v>
      </c>
      <c r="G79" s="3529"/>
      <c r="H79" s="3531"/>
      <c r="I79" s="3532"/>
      <c r="J79" s="247"/>
      <c r="K79" s="248"/>
      <c r="L79" s="248"/>
      <c r="M79" s="248"/>
      <c r="N79" s="3533"/>
      <c r="O79" s="248"/>
      <c r="P79" s="248"/>
      <c r="Q79" s="248"/>
      <c r="R79" s="250"/>
      <c r="S79" s="248"/>
      <c r="T79" s="248"/>
      <c r="U79" s="248"/>
      <c r="V79" s="250"/>
      <c r="W79" s="251"/>
      <c r="AC79" s="3534" t="s">
        <v>240</v>
      </c>
      <c r="AD79" s="3534" t="s">
        <v>241</v>
      </c>
      <c r="AE79" s="3534" t="s">
        <v>242</v>
      </c>
      <c r="AF79" s="3534" t="s">
        <v>243</v>
      </c>
      <c r="AH79" s="3534" t="str">
        <f>IF($E$79=0,"",$E$79)</f>
        <v>Тариф на питьевую воду (питьевое водоснабжение)</v>
      </c>
      <c r="AI79" s="3534" t="str">
        <f>IF($G$79=0,"",$G$79)</f>
        <v/>
      </c>
      <c r="AJ79" s="3534" t="str">
        <f>IF($J$79=0,"",$J$79)</f>
        <v/>
      </c>
      <c r="AK79" s="3534" t="str">
        <f>IF($K$79="нет","без дифференциации",IF($N$79=0,"",$N$79))</f>
        <v/>
      </c>
      <c r="AL79" s="3534" t="str">
        <f>IF($O$79="нет","без дифференциации",IF($R$79=0,"",$R$79))</f>
        <v/>
      </c>
      <c r="AM79" s="3534" t="str">
        <f>IF($S$79="нет","без дифференциации",IF($V$79=0,"",$V$79))</f>
        <v/>
      </c>
      <c r="AN79" s="3534">
        <f>$I$79</f>
        <v>0</v>
      </c>
      <c r="AO79" s="3534" t="str">
        <f>$I$79&amp;"."&amp;$M$79</f>
        <v>.</v>
      </c>
      <c r="AP79" s="3534" t="str">
        <f>$I$79&amp;"."&amp;$M$79&amp;"."&amp;$Q$79</f>
        <v>..</v>
      </c>
      <c r="AQ79" s="3534" t="str">
        <f>$I$79&amp;"."&amp;$M$79&amp;"."&amp;$Q$79&amp;"."&amp;$U$79</f>
        <v>...</v>
      </c>
      <c r="AR79" s="3489">
        <v>0</v>
      </c>
    </row>
    <row customHeight="1" ht="17.25" hidden="1">
      <c r="D80" s="3528"/>
      <c r="E80" s="3529"/>
      <c r="F80" s="3535"/>
      <c r="G80" s="3529"/>
      <c r="H80" s="3536"/>
      <c r="W80" s="3537"/>
      <c r="AR80" s="3489">
        <v>0</v>
      </c>
    </row>
    <row customHeight="1" ht="17.25" hidden="1">
      <c r="D81" s="3528"/>
      <c r="E81" s="3529"/>
      <c r="F81" s="3535"/>
      <c r="G81" s="3529"/>
      <c r="H81" s="3536"/>
      <c r="W81" s="3537"/>
      <c r="AR81" s="3489">
        <v>0</v>
      </c>
    </row>
    <row customHeight="1" ht="17.25" hidden="1">
      <c r="D82" s="3528"/>
      <c r="E82" s="3529"/>
      <c r="F82" s="3535"/>
      <c r="G82" s="3529"/>
      <c r="H82" s="3536"/>
      <c r="W82" s="3537"/>
      <c r="AR82" s="3489">
        <v>0</v>
      </c>
    </row>
    <row customHeight="1" ht="17.25" hidden="1">
      <c r="D83" s="215"/>
      <c r="E83" s="256"/>
      <c r="F83" s="3538"/>
      <c r="G83" s="256"/>
      <c r="H83" s="3539"/>
      <c r="I83" s="3540"/>
      <c r="J83" s="3540"/>
      <c r="K83" s="3540"/>
      <c r="L83" s="3540"/>
      <c r="M83" s="3540"/>
      <c r="N83" s="3540"/>
      <c r="O83" s="3540"/>
      <c r="P83" s="3540"/>
      <c r="Q83" s="3540"/>
      <c r="R83" s="3540"/>
      <c r="S83" s="3541"/>
      <c r="T83" s="3541"/>
      <c r="U83" s="3541"/>
      <c r="V83" s="3541"/>
      <c r="W83" s="3542"/>
      <c r="AR83" s="3489">
        <v>0</v>
      </c>
    </row>
    <row customHeight="1" ht="17.25" hidden="1">
      <c r="D84" s="3528">
        <v>2</v>
      </c>
      <c r="E84" s="3529" t="s">
        <v>244</v>
      </c>
      <c r="F84" s="3530" t="s">
        <v>19</v>
      </c>
      <c r="G84" s="3529"/>
      <c r="H84" s="3531"/>
      <c r="I84" s="3532"/>
      <c r="J84" s="247"/>
      <c r="K84" s="248"/>
      <c r="L84" s="248"/>
      <c r="M84" s="248"/>
      <c r="N84" s="3533"/>
      <c r="O84" s="248"/>
      <c r="P84" s="248"/>
      <c r="Q84" s="248"/>
      <c r="R84" s="250"/>
      <c r="S84" s="248"/>
      <c r="T84" s="248"/>
      <c r="U84" s="248"/>
      <c r="V84" s="250"/>
      <c r="W84" s="251"/>
      <c r="AC84" s="3534" t="s">
        <v>245</v>
      </c>
      <c r="AD84" s="3534" t="s">
        <v>246</v>
      </c>
      <c r="AE84" s="3534" t="s">
        <v>247</v>
      </c>
      <c r="AF84" s="3534" t="s">
        <v>248</v>
      </c>
      <c r="AH84" s="3534" t="str">
        <f>IF($E$84=0,"",$E$84)</f>
        <v>Тариф на техническую воду</v>
      </c>
      <c r="AI84" s="3534" t="str">
        <f>IF($G$84=0,"",$G$84)</f>
        <v/>
      </c>
      <c r="AJ84" s="3534" t="str">
        <f>IF($J$84=0,"",$J$84)</f>
        <v/>
      </c>
      <c r="AK84" s="3534" t="str">
        <f>IF($K$84="нет","без дифференциации",IF($N$84=0,"",$N$84))</f>
        <v/>
      </c>
      <c r="AL84" s="3534" t="str">
        <f>IF($O$84="нет","без дифференциации",IF($R$84=0,"",$R$84))</f>
        <v/>
      </c>
      <c r="AM84" s="3534" t="str">
        <f>IF($S$84="нет","без дифференциации",IF($V$84=0,"",$V$84))</f>
        <v/>
      </c>
      <c r="AN84" s="263">
        <f>$I$84</f>
        <v>0</v>
      </c>
      <c r="AO84" s="3534" t="str">
        <f>$I$84&amp;"."&amp;$M$84</f>
        <v>.</v>
      </c>
      <c r="AP84" s="3510" t="str">
        <f>$I$84&amp;"."&amp;$M$84&amp;"."&amp;$Q$84</f>
        <v>..</v>
      </c>
      <c r="AQ84" s="3510" t="str">
        <f>$I$84&amp;"."&amp;$M$84&amp;"."&amp;$Q$84&amp;"."&amp;$U$84</f>
        <v>...</v>
      </c>
      <c r="AR84" s="3489">
        <v>0</v>
      </c>
    </row>
    <row customHeight="1" ht="17.25" hidden="1">
      <c r="D85" s="3528"/>
      <c r="E85" s="3529"/>
      <c r="F85" s="3535"/>
      <c r="G85" s="3529"/>
      <c r="H85" s="3536"/>
      <c r="W85" s="3537"/>
      <c r="AR85" s="3489">
        <v>0</v>
      </c>
    </row>
    <row customHeight="1" ht="17.25" hidden="1">
      <c r="D86" s="215"/>
      <c r="E86" s="256"/>
      <c r="F86" s="3535"/>
      <c r="G86" s="256"/>
      <c r="H86" s="3536"/>
      <c r="W86" s="3537"/>
      <c r="AR86" s="3489">
        <v>0</v>
      </c>
    </row>
    <row customHeight="1" ht="17.25" hidden="1">
      <c r="D87" s="215"/>
      <c r="E87" s="256"/>
      <c r="F87" s="3535"/>
      <c r="G87" s="256"/>
      <c r="H87" s="3536"/>
      <c r="W87" s="3537"/>
      <c r="AR87" s="3489">
        <v>0</v>
      </c>
    </row>
    <row customHeight="1" ht="17.25" hidden="1">
      <c r="D88" s="215"/>
      <c r="E88" s="256"/>
      <c r="F88" s="3538"/>
      <c r="G88" s="256"/>
      <c r="H88" s="3539"/>
      <c r="I88" s="3540"/>
      <c r="J88" s="3540"/>
      <c r="K88" s="3540"/>
      <c r="L88" s="3540"/>
      <c r="M88" s="3540"/>
      <c r="N88" s="3540"/>
      <c r="O88" s="3540"/>
      <c r="P88" s="3540"/>
      <c r="Q88" s="3540"/>
      <c r="R88" s="3540"/>
      <c r="S88" s="3541"/>
      <c r="T88" s="3541"/>
      <c r="U88" s="3541"/>
      <c r="V88" s="3541"/>
      <c r="W88" s="3542"/>
      <c r="AR88" s="3489">
        <v>0</v>
      </c>
    </row>
    <row customHeight="1" ht="17.25" hidden="1">
      <c r="D89" s="3528">
        <v>3</v>
      </c>
      <c r="E89" s="3529" t="s">
        <v>249</v>
      </c>
      <c r="F89" s="3530" t="s">
        <v>19</v>
      </c>
      <c r="G89" s="3529"/>
      <c r="H89" s="3531"/>
      <c r="I89" s="3532"/>
      <c r="J89" s="247"/>
      <c r="K89" s="248"/>
      <c r="L89" s="248"/>
      <c r="M89" s="248"/>
      <c r="N89" s="3533"/>
      <c r="O89" s="248"/>
      <c r="P89" s="248"/>
      <c r="Q89" s="248"/>
      <c r="R89" s="250"/>
      <c r="S89" s="248"/>
      <c r="T89" s="248"/>
      <c r="U89" s="248"/>
      <c r="V89" s="250"/>
      <c r="W89" s="251"/>
      <c r="AC89" s="3534" t="s">
        <v>250</v>
      </c>
      <c r="AD89" s="3534" t="s">
        <v>251</v>
      </c>
      <c r="AE89" s="3534" t="s">
        <v>252</v>
      </c>
      <c r="AF89" s="3534" t="s">
        <v>253</v>
      </c>
      <c r="AH89" s="3534" t="str">
        <f>IF($E$89=0,"",$E$89)</f>
        <v>Тариф на транспортировку воды</v>
      </c>
      <c r="AI89" s="3534" t="str">
        <f>IF($G$89=0,"",$G$89)</f>
        <v/>
      </c>
      <c r="AJ89" s="3534" t="str">
        <f>IF($J$89=0,"",$J$89)</f>
        <v/>
      </c>
      <c r="AK89" s="3534" t="str">
        <f>IF($K$89="нет","без дифференциации",IF($N$89=0,"",$N$89))</f>
        <v/>
      </c>
      <c r="AL89" s="3534" t="str">
        <f>IF($O$89="нет","без дифференциации",IF($R$89=0,"",$R$89))</f>
        <v/>
      </c>
      <c r="AM89" s="3534" t="str">
        <f>IF($S$89="нет","без дифференциации",IF($V$89=0,"",$V$89))</f>
        <v/>
      </c>
      <c r="AN89" s="263">
        <f>$I$89</f>
        <v>0</v>
      </c>
      <c r="AO89" s="3534" t="str">
        <f>$I$89&amp;"."&amp;$M$89</f>
        <v>.</v>
      </c>
      <c r="AP89" s="3510" t="str">
        <f>$I$89&amp;"."&amp;$M$89&amp;"."&amp;$Q$89</f>
        <v>..</v>
      </c>
      <c r="AQ89" s="3510" t="str">
        <f>$I$89&amp;"."&amp;$M$89&amp;"."&amp;$Q$89&amp;"."&amp;$U$89</f>
        <v>...</v>
      </c>
      <c r="AR89" s="3489">
        <v>0</v>
      </c>
    </row>
    <row customHeight="1" ht="17.25" hidden="1">
      <c r="D90" s="3528"/>
      <c r="E90" s="3529"/>
      <c r="F90" s="3535"/>
      <c r="G90" s="3529"/>
      <c r="H90" s="3536"/>
      <c r="W90" s="3537"/>
      <c r="AR90" s="3489">
        <v>0</v>
      </c>
    </row>
    <row customHeight="1" ht="17.25" hidden="1">
      <c r="D91" s="215"/>
      <c r="E91" s="256"/>
      <c r="F91" s="3535"/>
      <c r="G91" s="256"/>
      <c r="H91" s="3536"/>
      <c r="W91" s="3537"/>
      <c r="AR91" s="3489">
        <v>0</v>
      </c>
    </row>
    <row customHeight="1" ht="17.25" hidden="1">
      <c r="D92" s="215"/>
      <c r="E92" s="256"/>
      <c r="F92" s="3535"/>
      <c r="G92" s="256"/>
      <c r="H92" s="3536"/>
      <c r="W92" s="3537"/>
      <c r="AR92" s="3489">
        <v>0</v>
      </c>
    </row>
    <row customHeight="1" ht="17.25" hidden="1">
      <c r="D93" s="215"/>
      <c r="E93" s="256"/>
      <c r="F93" s="3538"/>
      <c r="G93" s="256"/>
      <c r="H93" s="3539"/>
      <c r="I93" s="3540"/>
      <c r="J93" s="3540"/>
      <c r="K93" s="3540"/>
      <c r="L93" s="3540"/>
      <c r="M93" s="3540"/>
      <c r="N93" s="3540"/>
      <c r="O93" s="3540"/>
      <c r="P93" s="3540"/>
      <c r="Q93" s="3540"/>
      <c r="R93" s="3540"/>
      <c r="S93" s="3541"/>
      <c r="T93" s="3541"/>
      <c r="U93" s="3541"/>
      <c r="V93" s="3541"/>
      <c r="W93" s="3542"/>
      <c r="AR93" s="3489">
        <v>0</v>
      </c>
    </row>
    <row customHeight="1" ht="17.25" hidden="1">
      <c r="D94" s="3528">
        <v>4</v>
      </c>
      <c r="E94" s="3529" t="s">
        <v>254</v>
      </c>
      <c r="F94" s="3530" t="s">
        <v>19</v>
      </c>
      <c r="G94" s="3529"/>
      <c r="H94" s="3531"/>
      <c r="I94" s="3532"/>
      <c r="J94" s="247"/>
      <c r="K94" s="248"/>
      <c r="L94" s="248"/>
      <c r="M94" s="248"/>
      <c r="N94" s="3533"/>
      <c r="O94" s="248"/>
      <c r="P94" s="248"/>
      <c r="Q94" s="248"/>
      <c r="R94" s="250"/>
      <c r="S94" s="248"/>
      <c r="T94" s="248"/>
      <c r="U94" s="248"/>
      <c r="V94" s="250"/>
      <c r="W94" s="251"/>
      <c r="AC94" s="3534" t="s">
        <v>255</v>
      </c>
      <c r="AD94" s="3534" t="s">
        <v>256</v>
      </c>
      <c r="AE94" s="3534" t="s">
        <v>257</v>
      </c>
      <c r="AF94" s="3534" t="s">
        <v>258</v>
      </c>
      <c r="AH94" s="3534" t="str">
        <f>IF($E$94=0,"",$E$94)</f>
        <v>Тариф на подвоз воды</v>
      </c>
      <c r="AI94" s="3534" t="str">
        <f>IF($G$94=0,"",$G$94)</f>
        <v/>
      </c>
      <c r="AJ94" s="3534" t="str">
        <f>IF($J$94=0,"",$J$94)</f>
        <v/>
      </c>
      <c r="AK94" s="3534" t="str">
        <f>IF($K$94="нет","без дифференциации",IF($N$94=0,"",$N$94))</f>
        <v/>
      </c>
      <c r="AL94" s="3534" t="str">
        <f>IF($O$94="нет","без дифференциации",IF($R$94=0,"",$R$94))</f>
        <v/>
      </c>
      <c r="AM94" s="3534" t="str">
        <f>IF($S$94="нет","без дифференциации",IF($V$94=0,"",$V$94))</f>
        <v/>
      </c>
      <c r="AN94" s="263">
        <f>$I$94</f>
        <v>0</v>
      </c>
      <c r="AO94" s="3534" t="str">
        <f>$I$94&amp;"."&amp;$M$94</f>
        <v>.</v>
      </c>
      <c r="AP94" s="3510" t="str">
        <f>$I$94&amp;"."&amp;$M$94&amp;"."&amp;$Q$94</f>
        <v>..</v>
      </c>
      <c r="AQ94" s="3510" t="str">
        <f>$I$94&amp;"."&amp;$M$94&amp;"."&amp;$Q$94&amp;"."&amp;$U$94</f>
        <v>...</v>
      </c>
      <c r="AR94" s="3489">
        <v>0</v>
      </c>
    </row>
    <row customHeight="1" ht="17.25" hidden="1">
      <c r="D95" s="3528"/>
      <c r="E95" s="3529"/>
      <c r="F95" s="3535"/>
      <c r="G95" s="3529"/>
      <c r="H95" s="3536"/>
      <c r="W95" s="3537"/>
      <c r="AR95" s="3489">
        <v>0</v>
      </c>
    </row>
    <row customHeight="1" ht="17.25" hidden="1">
      <c r="D96" s="215"/>
      <c r="E96" s="256"/>
      <c r="F96" s="3535"/>
      <c r="G96" s="256"/>
      <c r="H96" s="3536"/>
      <c r="W96" s="3537"/>
      <c r="AR96" s="3489">
        <v>0</v>
      </c>
    </row>
    <row customHeight="1" ht="17.25" hidden="1">
      <c r="D97" s="215"/>
      <c r="E97" s="256"/>
      <c r="F97" s="3535"/>
      <c r="G97" s="256"/>
      <c r="H97" s="3536"/>
      <c r="W97" s="3537"/>
      <c r="AR97" s="3489">
        <v>0</v>
      </c>
    </row>
    <row customHeight="1" ht="17.25" hidden="1">
      <c r="D98" s="215"/>
      <c r="E98" s="256"/>
      <c r="F98" s="3538"/>
      <c r="G98" s="256"/>
      <c r="H98" s="3539"/>
      <c r="I98" s="3540"/>
      <c r="J98" s="3540"/>
      <c r="K98" s="3540"/>
      <c r="L98" s="3540"/>
      <c r="M98" s="3540"/>
      <c r="N98" s="3540"/>
      <c r="O98" s="3540"/>
      <c r="P98" s="3540"/>
      <c r="Q98" s="3540"/>
      <c r="R98" s="3540"/>
      <c r="S98" s="3541"/>
      <c r="T98" s="3541"/>
      <c r="U98" s="3541"/>
      <c r="V98" s="3541"/>
      <c r="W98" s="3542"/>
      <c r="AR98" s="3489">
        <v>0</v>
      </c>
    </row>
    <row customHeight="1" ht="17.25" hidden="1">
      <c r="D99" s="3528">
        <v>5</v>
      </c>
      <c r="E99" s="3529" t="s">
        <v>259</v>
      </c>
      <c r="F99" s="3530" t="s">
        <v>19</v>
      </c>
      <c r="G99" s="3529"/>
      <c r="H99" s="3531"/>
      <c r="I99" s="3532"/>
      <c r="J99" s="247"/>
      <c r="K99" s="248"/>
      <c r="L99" s="248"/>
      <c r="M99" s="248"/>
      <c r="N99" s="3533"/>
      <c r="O99" s="248"/>
      <c r="P99" s="248"/>
      <c r="Q99" s="248"/>
      <c r="R99" s="250"/>
      <c r="S99" s="248"/>
      <c r="T99" s="248"/>
      <c r="U99" s="248"/>
      <c r="V99" s="250"/>
      <c r="W99" s="251"/>
      <c r="AC99" s="3534" t="s">
        <v>260</v>
      </c>
      <c r="AD99" s="3534" t="s">
        <v>261</v>
      </c>
      <c r="AE99" s="3534" t="s">
        <v>262</v>
      </c>
      <c r="AF99" s="3534" t="s">
        <v>263</v>
      </c>
      <c r="AH99" s="3534" t="str">
        <f>IF($E$99=0,"",$E$99)</f>
        <v>Тариф на подключение (технологическое присоединение) к централизованной системе холодного водоснабжения</v>
      </c>
      <c r="AI99" s="3534" t="str">
        <f>IF($G$99=0,"",$G$99)</f>
        <v/>
      </c>
      <c r="AJ99" s="3534" t="str">
        <f>IF($J$99=0,"",$J$99)</f>
        <v/>
      </c>
      <c r="AK99" s="3534" t="str">
        <f>IF($K$99="нет","без дифференциации",IF($N$99=0,"",$N$99))</f>
        <v/>
      </c>
      <c r="AL99" s="3534" t="str">
        <f>IF($O$99="нет","без дифференциации",IF($R$99=0,"",$R$99))</f>
        <v/>
      </c>
      <c r="AM99" s="3534" t="str">
        <f>IF($S$99="нет","без дифференциации",IF($V$99=0,"",$V$99))</f>
        <v/>
      </c>
      <c r="AN99" s="263">
        <f>$I$99</f>
        <v>0</v>
      </c>
      <c r="AO99" s="3534" t="str">
        <f>$I$99&amp;"."&amp;$M$99</f>
        <v>.</v>
      </c>
      <c r="AP99" s="3510" t="str">
        <f>$I$99&amp;"."&amp;$M$99&amp;"."&amp;$Q$99</f>
        <v>..</v>
      </c>
      <c r="AQ99" s="3510" t="str">
        <f>$I$99&amp;"."&amp;$M$99&amp;"."&amp;$Q$99&amp;"."&amp;$U$99</f>
        <v>...</v>
      </c>
      <c r="AR99" s="3489">
        <v>0</v>
      </c>
    </row>
    <row customHeight="1" ht="17.25" hidden="1">
      <c r="D100" s="3528"/>
      <c r="E100" s="3529"/>
      <c r="F100" s="3535"/>
      <c r="G100" s="3529"/>
      <c r="H100" s="3536"/>
      <c r="W100" s="3537"/>
      <c r="AR100" s="3489">
        <v>0</v>
      </c>
    </row>
    <row customHeight="1" ht="17.25" hidden="1">
      <c r="D101" s="215"/>
      <c r="E101" s="256"/>
      <c r="F101" s="3535"/>
      <c r="G101" s="256"/>
      <c r="H101" s="3536"/>
      <c r="W101" s="3537"/>
      <c r="AR101" s="3489">
        <v>0</v>
      </c>
    </row>
    <row customHeight="1" ht="17.25" hidden="1">
      <c r="D102" s="215"/>
      <c r="E102" s="256"/>
      <c r="F102" s="3535"/>
      <c r="G102" s="256"/>
      <c r="H102" s="3536"/>
      <c r="W102" s="3537"/>
      <c r="AR102" s="3489">
        <v>0</v>
      </c>
    </row>
    <row customHeight="1" ht="17.25" hidden="1">
      <c r="D103" s="215"/>
      <c r="E103" s="256"/>
      <c r="F103" s="3538"/>
      <c r="G103" s="256"/>
      <c r="H103" s="3539"/>
      <c r="I103" s="3540"/>
      <c r="J103" s="3540"/>
      <c r="K103" s="3540"/>
      <c r="L103" s="3540"/>
      <c r="M103" s="3540"/>
      <c r="N103" s="3540"/>
      <c r="O103" s="3540"/>
      <c r="P103" s="3540"/>
      <c r="Q103" s="3540"/>
      <c r="R103" s="3540"/>
      <c r="S103" s="3541"/>
      <c r="T103" s="3541"/>
      <c r="U103" s="3541"/>
      <c r="V103" s="3541"/>
      <c r="W103" s="3542"/>
      <c r="AR103" s="3489">
        <v>0</v>
      </c>
    </row>
    <row customHeight="1" ht="11.25" hidden="1">
      <c r="AR104" s="3489">
        <v>0</v>
      </c>
    </row>
    <row customHeight="1" ht="17.25" hidden="1">
      <c r="D105" s="3528">
        <v>1</v>
      </c>
      <c r="E105" s="3529" t="s">
        <v>264</v>
      </c>
      <c r="F105" s="3530" t="s">
        <v>19</v>
      </c>
      <c r="G105" s="3529"/>
      <c r="H105" s="3531"/>
      <c r="I105" s="3532"/>
      <c r="J105" s="247"/>
      <c r="K105" s="248"/>
      <c r="L105" s="248"/>
      <c r="M105" s="248"/>
      <c r="N105" s="3533"/>
      <c r="O105" s="248"/>
      <c r="P105" s="248"/>
      <c r="Q105" s="248"/>
      <c r="R105" s="250"/>
      <c r="S105" s="248"/>
      <c r="T105" s="248"/>
      <c r="U105" s="248"/>
      <c r="V105" s="250"/>
      <c r="W105" s="251"/>
      <c r="AC105" s="3534" t="s">
        <v>265</v>
      </c>
      <c r="AD105" s="3534" t="s">
        <v>266</v>
      </c>
      <c r="AE105" s="3534" t="s">
        <v>267</v>
      </c>
      <c r="AF105" s="3534" t="s">
        <v>268</v>
      </c>
      <c r="AH105" s="3534" t="str">
        <f>IF($E$105=0,"",$E$105)</f>
        <v>Тариф на горячую воду (горячее водоснабжение)</v>
      </c>
      <c r="AI105" s="3534" t="str">
        <f>IF($G$105=0,"",$G$105)</f>
        <v/>
      </c>
      <c r="AJ105" s="3534" t="str">
        <f>IF($J$105=0,"",$J$105)</f>
        <v/>
      </c>
      <c r="AK105" s="3534" t="str">
        <f>IF($K$105="нет","без дифференциации",IF($N$105=0,"",$N$105))</f>
        <v/>
      </c>
      <c r="AL105" s="3534" t="str">
        <f>IF($O$105="нет","без дифференциации",IF($R$105=0,"",$R$105))</f>
        <v/>
      </c>
      <c r="AM105" s="3534" t="str">
        <f>IF($S$105="нет","без дифференциации",IF($V$105=0,"",$V$105))</f>
        <v/>
      </c>
      <c r="AN105" s="3534">
        <f>$I$105</f>
        <v>0</v>
      </c>
      <c r="AO105" s="3534" t="str">
        <f>$I$105&amp;"."&amp;$M$105</f>
        <v>.</v>
      </c>
      <c r="AP105" s="3534" t="str">
        <f>$I$105&amp;"."&amp;$M$105&amp;"."&amp;$Q$105</f>
        <v>..</v>
      </c>
      <c r="AQ105" s="3534" t="str">
        <f>$I$105&amp;"."&amp;$M$105&amp;"."&amp;$Q$105&amp;"."&amp;$U$105</f>
        <v>...</v>
      </c>
      <c r="AR105" s="3489">
        <v>0</v>
      </c>
    </row>
    <row customHeight="1" ht="17.25" hidden="1">
      <c r="D106" s="3528"/>
      <c r="E106" s="3529"/>
      <c r="F106" s="3535"/>
      <c r="G106" s="3529"/>
      <c r="H106" s="3536"/>
      <c r="W106" s="3537"/>
      <c r="AR106" s="3489">
        <v>0</v>
      </c>
    </row>
    <row customHeight="1" ht="17.25" hidden="1">
      <c r="D107" s="3528"/>
      <c r="E107" s="3529"/>
      <c r="F107" s="3535"/>
      <c r="G107" s="3529"/>
      <c r="H107" s="3536"/>
      <c r="W107" s="3537"/>
      <c r="AR107" s="3489">
        <v>0</v>
      </c>
    </row>
    <row customHeight="1" ht="17.25" hidden="1">
      <c r="D108" s="3528"/>
      <c r="E108" s="3529"/>
      <c r="F108" s="3535"/>
      <c r="G108" s="3529"/>
      <c r="H108" s="3536"/>
      <c r="W108" s="3537"/>
      <c r="AR108" s="3489">
        <v>0</v>
      </c>
    </row>
    <row customHeight="1" ht="17.25" hidden="1">
      <c r="D109" s="215"/>
      <c r="E109" s="256"/>
      <c r="F109" s="3538"/>
      <c r="G109" s="256"/>
      <c r="H109" s="3539"/>
      <c r="I109" s="3540"/>
      <c r="J109" s="3540"/>
      <c r="K109" s="3540"/>
      <c r="L109" s="3540"/>
      <c r="M109" s="3540"/>
      <c r="N109" s="3540"/>
      <c r="O109" s="3540"/>
      <c r="P109" s="3540"/>
      <c r="Q109" s="3540"/>
      <c r="R109" s="3540"/>
      <c r="S109" s="3541"/>
      <c r="T109" s="3541"/>
      <c r="U109" s="3541"/>
      <c r="V109" s="3541"/>
      <c r="W109" s="3542"/>
      <c r="AR109" s="3489">
        <v>0</v>
      </c>
    </row>
    <row customHeight="1" ht="17.25" hidden="1">
      <c r="D110" s="3528">
        <v>2</v>
      </c>
      <c r="E110" s="3529" t="s">
        <v>269</v>
      </c>
      <c r="F110" s="3530" t="s">
        <v>19</v>
      </c>
      <c r="G110" s="3529"/>
      <c r="H110" s="3531"/>
      <c r="I110" s="3532"/>
      <c r="J110" s="247"/>
      <c r="K110" s="248"/>
      <c r="L110" s="248"/>
      <c r="M110" s="248"/>
      <c r="N110" s="3533"/>
      <c r="O110" s="248"/>
      <c r="P110" s="248"/>
      <c r="Q110" s="248"/>
      <c r="R110" s="250"/>
      <c r="S110" s="248"/>
      <c r="T110" s="248"/>
      <c r="U110" s="248"/>
      <c r="V110" s="250"/>
      <c r="W110" s="251"/>
      <c r="AC110" s="3534" t="s">
        <v>270</v>
      </c>
      <c r="AD110" s="3534" t="s">
        <v>271</v>
      </c>
      <c r="AE110" s="3534" t="s">
        <v>272</v>
      </c>
      <c r="AF110" s="3534" t="s">
        <v>273</v>
      </c>
      <c r="AH110" s="3534" t="str">
        <f>IF($E$110=0,"",$E$110)</f>
        <v>Тариф на транспортировку горячей воды</v>
      </c>
      <c r="AI110" s="3534" t="str">
        <f>IF($G$110=0,"",$G$110)</f>
        <v/>
      </c>
      <c r="AJ110" s="3534" t="str">
        <f>IF($J$110=0,"",$J$110)</f>
        <v/>
      </c>
      <c r="AK110" s="3534" t="str">
        <f>IF($K$110="нет","без дифференциации",IF($N$110=0,"",$N$110))</f>
        <v/>
      </c>
      <c r="AL110" s="3534" t="str">
        <f>IF($O$110="нет","без дифференциации",IF($R$110=0,"",$R$110))</f>
        <v/>
      </c>
      <c r="AM110" s="3534" t="str">
        <f>IF($S$110="нет","без дифференциации",IF($V$110=0,"",$V$110))</f>
        <v/>
      </c>
      <c r="AN110" s="263">
        <f>$I$110</f>
        <v>0</v>
      </c>
      <c r="AO110" s="3534" t="str">
        <f>$I$110&amp;"."&amp;$M$110</f>
        <v>.</v>
      </c>
      <c r="AP110" s="3510" t="str">
        <f>$I$110&amp;"."&amp;$M$110&amp;"."&amp;$Q$110</f>
        <v>..</v>
      </c>
      <c r="AQ110" s="3510" t="str">
        <f>$I$110&amp;"."&amp;$M$110&amp;"."&amp;$Q$110&amp;"."&amp;$U$110</f>
        <v>...</v>
      </c>
      <c r="AR110" s="3489">
        <v>0</v>
      </c>
    </row>
    <row customHeight="1" ht="17.25" hidden="1">
      <c r="D111" s="3528"/>
      <c r="E111" s="3529"/>
      <c r="F111" s="3535"/>
      <c r="G111" s="3529"/>
      <c r="H111" s="3536"/>
      <c r="W111" s="3537"/>
      <c r="AR111" s="3489">
        <v>0</v>
      </c>
    </row>
    <row customHeight="1" ht="17.25" hidden="1">
      <c r="D112" s="215"/>
      <c r="E112" s="256"/>
      <c r="F112" s="3535"/>
      <c r="G112" s="256"/>
      <c r="H112" s="3536"/>
      <c r="W112" s="3537"/>
      <c r="AR112" s="3489">
        <v>0</v>
      </c>
    </row>
    <row customHeight="1" ht="17.25" hidden="1">
      <c r="D113" s="215"/>
      <c r="E113" s="256"/>
      <c r="F113" s="3535"/>
      <c r="G113" s="256"/>
      <c r="H113" s="3536"/>
      <c r="W113" s="3537"/>
      <c r="AR113" s="3489">
        <v>0</v>
      </c>
    </row>
    <row customHeight="1" ht="17.25" hidden="1">
      <c r="D114" s="215"/>
      <c r="E114" s="256"/>
      <c r="F114" s="3538"/>
      <c r="G114" s="256"/>
      <c r="H114" s="3539"/>
      <c r="I114" s="3540"/>
      <c r="J114" s="3540"/>
      <c r="K114" s="3540"/>
      <c r="L114" s="3540"/>
      <c r="M114" s="3540"/>
      <c r="N114" s="3540"/>
      <c r="O114" s="3540"/>
      <c r="P114" s="3540"/>
      <c r="Q114" s="3540"/>
      <c r="R114" s="3540"/>
      <c r="S114" s="3541"/>
      <c r="T114" s="3541"/>
      <c r="U114" s="3541"/>
      <c r="V114" s="3541"/>
      <c r="W114" s="3542"/>
      <c r="AR114" s="3489">
        <v>0</v>
      </c>
    </row>
    <row customHeight="1" ht="17.25" hidden="1">
      <c r="D115" s="3528">
        <v>3</v>
      </c>
      <c r="E115" s="3529" t="s">
        <v>274</v>
      </c>
      <c r="F115" s="3530" t="s">
        <v>19</v>
      </c>
      <c r="G115" s="3529"/>
      <c r="H115" s="3531"/>
      <c r="I115" s="3532"/>
      <c r="J115" s="247"/>
      <c r="K115" s="248"/>
      <c r="L115" s="248"/>
      <c r="M115" s="248"/>
      <c r="N115" s="3533"/>
      <c r="O115" s="248"/>
      <c r="P115" s="248"/>
      <c r="Q115" s="248"/>
      <c r="R115" s="250"/>
      <c r="S115" s="248"/>
      <c r="T115" s="248"/>
      <c r="U115" s="248"/>
      <c r="V115" s="250"/>
      <c r="W115" s="251"/>
      <c r="AC115" s="3534" t="s">
        <v>275</v>
      </c>
      <c r="AD115" s="3534" t="s">
        <v>276</v>
      </c>
      <c r="AE115" s="3534" t="s">
        <v>277</v>
      </c>
      <c r="AF115" s="3534" t="s">
        <v>278</v>
      </c>
      <c r="AH115" s="3534" t="str">
        <f>IF($E$115=0,"",$E$115)</f>
        <v>Тариф на подключение (технологическое присоединение) к централизованной системе горячего водоснабжения</v>
      </c>
      <c r="AI115" s="3534" t="str">
        <f>IF($G$115=0,"",$G$115)</f>
        <v/>
      </c>
      <c r="AJ115" s="3534" t="str">
        <f>IF($J$115=0,"",$J$115)</f>
        <v/>
      </c>
      <c r="AK115" s="3534" t="str">
        <f>IF($K$115="нет","без дифференциации",IF($N$115=0,"",$N$115))</f>
        <v/>
      </c>
      <c r="AL115" s="3534" t="str">
        <f>IF($O$115="нет","без дифференциации",IF($R$115=0,"",$R$115))</f>
        <v/>
      </c>
      <c r="AM115" s="3534" t="str">
        <f>IF($S$115="нет","без дифференциации",IF($V$115=0,"",$V$115))</f>
        <v/>
      </c>
      <c r="AN115" s="263">
        <f>$I$115</f>
        <v>0</v>
      </c>
      <c r="AO115" s="3534" t="str">
        <f>$I$115&amp;"."&amp;$M$115</f>
        <v>.</v>
      </c>
      <c r="AP115" s="3510" t="str">
        <f>$I$115&amp;"."&amp;$M$115&amp;"."&amp;$Q$115</f>
        <v>..</v>
      </c>
      <c r="AQ115" s="3510" t="str">
        <f>$I$115&amp;"."&amp;$M$115&amp;"."&amp;$Q$115&amp;"."&amp;$U$115</f>
        <v>...</v>
      </c>
      <c r="AR115" s="3489">
        <v>0</v>
      </c>
    </row>
    <row customHeight="1" ht="17.25" hidden="1">
      <c r="D116" s="3528"/>
      <c r="E116" s="3529"/>
      <c r="F116" s="3535"/>
      <c r="G116" s="3529"/>
      <c r="H116" s="3536"/>
      <c r="W116" s="3537"/>
      <c r="AR116" s="3489">
        <v>0</v>
      </c>
    </row>
    <row customHeight="1" ht="17.25" hidden="1">
      <c r="D117" s="215"/>
      <c r="E117" s="256"/>
      <c r="F117" s="3535"/>
      <c r="G117" s="256"/>
      <c r="H117" s="3536"/>
      <c r="W117" s="3537"/>
      <c r="AR117" s="3489">
        <v>0</v>
      </c>
    </row>
    <row customHeight="1" ht="17.25" hidden="1">
      <c r="D118" s="215"/>
      <c r="E118" s="256"/>
      <c r="F118" s="3535"/>
      <c r="G118" s="256"/>
      <c r="H118" s="3536"/>
      <c r="W118" s="3537"/>
      <c r="AR118" s="3489">
        <v>0</v>
      </c>
    </row>
    <row customHeight="1" ht="17.25" hidden="1">
      <c r="D119" s="215"/>
      <c r="E119" s="256"/>
      <c r="F119" s="3538"/>
      <c r="G119" s="256"/>
      <c r="H119" s="3539"/>
      <c r="I119" s="3540"/>
      <c r="J119" s="3540"/>
      <c r="K119" s="3540"/>
      <c r="L119" s="3540"/>
      <c r="M119" s="3540"/>
      <c r="N119" s="3540"/>
      <c r="O119" s="3540"/>
      <c r="P119" s="3540"/>
      <c r="Q119" s="3540"/>
      <c r="R119" s="3540"/>
      <c r="S119" s="3541"/>
      <c r="T119" s="3541"/>
      <c r="U119" s="3541"/>
      <c r="V119" s="3541"/>
      <c r="W119" s="3542"/>
      <c r="AR119" s="3489">
        <v>0</v>
      </c>
    </row>
    <row customHeight="1" ht="11.25" hidden="1">
      <c r="AR120" s="3489">
        <v>0</v>
      </c>
    </row>
    <row customHeight="1" ht="17.25" hidden="1">
      <c r="D121" s="3528">
        <v>1</v>
      </c>
      <c r="E121" s="3529" t="s">
        <v>279</v>
      </c>
      <c r="F121" s="3530" t="s">
        <v>19</v>
      </c>
      <c r="G121" s="3529"/>
      <c r="H121" s="3531"/>
      <c r="I121" s="3532"/>
      <c r="J121" s="247"/>
      <c r="K121" s="248"/>
      <c r="L121" s="248"/>
      <c r="M121" s="248"/>
      <c r="N121" s="3533"/>
      <c r="O121" s="248"/>
      <c r="P121" s="248"/>
      <c r="Q121" s="248"/>
      <c r="R121" s="250"/>
      <c r="S121" s="248"/>
      <c r="T121" s="248"/>
      <c r="U121" s="248"/>
      <c r="V121" s="250"/>
      <c r="W121" s="251"/>
      <c r="AC121" s="3534" t="s">
        <v>280</v>
      </c>
      <c r="AD121" s="3534" t="s">
        <v>281</v>
      </c>
      <c r="AE121" s="3534" t="s">
        <v>282</v>
      </c>
      <c r="AF121" s="3534" t="s">
        <v>283</v>
      </c>
      <c r="AH121" s="3534" t="str">
        <f>IF($E$121=0,"",$E$121)</f>
        <v>Тариф на водоотведение</v>
      </c>
      <c r="AI121" s="3534" t="str">
        <f>IF($G$121=0,"",$G$121)</f>
        <v/>
      </c>
      <c r="AJ121" s="3534" t="str">
        <f>IF($J$121=0,"",$J$121)</f>
        <v/>
      </c>
      <c r="AK121" s="3534" t="str">
        <f>IF($K$121="нет","без дифференциации",IF($N$121=0,"",$N$121))</f>
        <v/>
      </c>
      <c r="AL121" s="3534" t="str">
        <f>IF($O$121="нет","без дифференциации",IF($R$121=0,"",$R$121))</f>
        <v/>
      </c>
      <c r="AM121" s="3534" t="str">
        <f>IF($S$121="нет","без дифференциации",IF($V$121=0,"",$V$121))</f>
        <v/>
      </c>
      <c r="AN121" s="3534">
        <f>$I$121</f>
        <v>0</v>
      </c>
      <c r="AO121" s="3534" t="str">
        <f>$I$121&amp;"."&amp;$M$121</f>
        <v>.</v>
      </c>
      <c r="AP121" s="3534" t="str">
        <f>$I$121&amp;"."&amp;$M$121&amp;"."&amp;$Q$121</f>
        <v>..</v>
      </c>
      <c r="AQ121" s="3534" t="str">
        <f>$I$121&amp;"."&amp;$M$121&amp;"."&amp;$Q$121&amp;"."&amp;$U$121</f>
        <v>...</v>
      </c>
      <c r="AR121" s="3489">
        <v>0</v>
      </c>
    </row>
    <row customHeight="1" ht="17.25" hidden="1">
      <c r="D122" s="3528"/>
      <c r="E122" s="3529"/>
      <c r="F122" s="3535"/>
      <c r="G122" s="3529"/>
      <c r="H122" s="3536"/>
      <c r="W122" s="3537"/>
      <c r="AR122" s="3489">
        <v>0</v>
      </c>
    </row>
    <row customHeight="1" ht="17.25" hidden="1">
      <c r="D123" s="3528"/>
      <c r="E123" s="3529"/>
      <c r="F123" s="3535"/>
      <c r="G123" s="3529"/>
      <c r="H123" s="3536"/>
      <c r="W123" s="3537"/>
      <c r="AR123" s="3489">
        <v>0</v>
      </c>
    </row>
    <row customHeight="1" ht="17.25" hidden="1">
      <c r="D124" s="3528"/>
      <c r="E124" s="3529"/>
      <c r="F124" s="3535"/>
      <c r="G124" s="3529"/>
      <c r="H124" s="3536"/>
      <c r="W124" s="3537"/>
      <c r="AR124" s="3489">
        <v>0</v>
      </c>
    </row>
    <row customHeight="1" ht="17.25" hidden="1">
      <c r="D125" s="215"/>
      <c r="E125" s="256"/>
      <c r="F125" s="3538"/>
      <c r="G125" s="256"/>
      <c r="H125" s="3539"/>
      <c r="I125" s="3540"/>
      <c r="J125" s="3540"/>
      <c r="K125" s="3540"/>
      <c r="L125" s="3540"/>
      <c r="M125" s="3540"/>
      <c r="N125" s="3540"/>
      <c r="O125" s="3540"/>
      <c r="P125" s="3540"/>
      <c r="Q125" s="3540"/>
      <c r="R125" s="3540"/>
      <c r="S125" s="3541"/>
      <c r="T125" s="3541"/>
      <c r="U125" s="3541"/>
      <c r="V125" s="3541"/>
      <c r="W125" s="3542"/>
      <c r="AR125" s="3489">
        <v>0</v>
      </c>
    </row>
    <row customHeight="1" ht="17.25" hidden="1">
      <c r="D126" s="3528">
        <v>2</v>
      </c>
      <c r="E126" s="3529" t="s">
        <v>284</v>
      </c>
      <c r="F126" s="3530" t="s">
        <v>19</v>
      </c>
      <c r="G126" s="3529"/>
      <c r="H126" s="3531"/>
      <c r="I126" s="3532"/>
      <c r="J126" s="247"/>
      <c r="K126" s="248"/>
      <c r="L126" s="248"/>
      <c r="M126" s="248"/>
      <c r="N126" s="3533"/>
      <c r="O126" s="248"/>
      <c r="P126" s="248"/>
      <c r="Q126" s="248"/>
      <c r="R126" s="250"/>
      <c r="S126" s="248"/>
      <c r="T126" s="248"/>
      <c r="U126" s="248"/>
      <c r="V126" s="250"/>
      <c r="W126" s="251"/>
      <c r="AC126" s="3534" t="s">
        <v>285</v>
      </c>
      <c r="AD126" s="3534" t="s">
        <v>286</v>
      </c>
      <c r="AE126" s="3534" t="s">
        <v>287</v>
      </c>
      <c r="AF126" s="3534" t="s">
        <v>288</v>
      </c>
      <c r="AH126" s="3534" t="str">
        <f>IF($E$126=0,"",$E$126)</f>
        <v>Тариф на транспортировку сточных вод</v>
      </c>
      <c r="AI126" s="3534" t="str">
        <f>IF($G$126=0,"",$G$126)</f>
        <v/>
      </c>
      <c r="AJ126" s="3534" t="str">
        <f>IF($J$126=0,"",$J$126)</f>
        <v/>
      </c>
      <c r="AK126" s="3534" t="str">
        <f>IF($K$126="нет","без дифференциации",IF($N$126=0,"",$N$126))</f>
        <v/>
      </c>
      <c r="AL126" s="3534" t="str">
        <f>IF($O$126="нет","без дифференциации",IF($R$126=0,"",$R$126))</f>
        <v/>
      </c>
      <c r="AM126" s="3534" t="str">
        <f>IF($S$126="нет","без дифференциации",IF($V$126=0,"",$V$126))</f>
        <v/>
      </c>
      <c r="AN126" s="263">
        <f>$I$126</f>
        <v>0</v>
      </c>
      <c r="AO126" s="3534" t="str">
        <f>$I$126&amp;"."&amp;$M$126</f>
        <v>.</v>
      </c>
      <c r="AP126" s="3510" t="str">
        <f>$I$126&amp;"."&amp;$M$126&amp;"."&amp;$Q$126</f>
        <v>..</v>
      </c>
      <c r="AQ126" s="3510" t="str">
        <f>$I$126&amp;"."&amp;$M$126&amp;"."&amp;$Q$126&amp;"."&amp;$U$126</f>
        <v>...</v>
      </c>
      <c r="AR126" s="3489">
        <v>0</v>
      </c>
    </row>
    <row customHeight="1" ht="17.25" hidden="1">
      <c r="D127" s="3528"/>
      <c r="E127" s="3529"/>
      <c r="F127" s="3535"/>
      <c r="G127" s="3529"/>
      <c r="H127" s="3536"/>
      <c r="W127" s="3537"/>
      <c r="AR127" s="3489">
        <v>0</v>
      </c>
    </row>
    <row customHeight="1" ht="17.25" hidden="1">
      <c r="D128" s="215"/>
      <c r="E128" s="256"/>
      <c r="F128" s="3535"/>
      <c r="G128" s="256"/>
      <c r="H128" s="3536"/>
      <c r="W128" s="3537"/>
      <c r="AR128" s="3489">
        <v>0</v>
      </c>
    </row>
    <row customHeight="1" ht="17.25" hidden="1">
      <c r="D129" s="215"/>
      <c r="E129" s="256"/>
      <c r="F129" s="3535"/>
      <c r="G129" s="256"/>
      <c r="H129" s="3536"/>
      <c r="W129" s="3537"/>
      <c r="AR129" s="3489">
        <v>0</v>
      </c>
    </row>
    <row customHeight="1" ht="17.25" hidden="1">
      <c r="D130" s="215"/>
      <c r="E130" s="256"/>
      <c r="F130" s="3538"/>
      <c r="G130" s="256"/>
      <c r="H130" s="3539"/>
      <c r="I130" s="3540"/>
      <c r="J130" s="3540"/>
      <c r="K130" s="3540"/>
      <c r="L130" s="3540"/>
      <c r="M130" s="3540"/>
      <c r="N130" s="3540"/>
      <c r="O130" s="3540"/>
      <c r="P130" s="3540"/>
      <c r="Q130" s="3540"/>
      <c r="R130" s="3540"/>
      <c r="S130" s="3541"/>
      <c r="T130" s="3541"/>
      <c r="U130" s="3541"/>
      <c r="V130" s="3541"/>
      <c r="W130" s="3542"/>
      <c r="AR130" s="3489">
        <v>0</v>
      </c>
    </row>
    <row customHeight="1" ht="17.25" hidden="1">
      <c r="D131" s="3528">
        <v>3</v>
      </c>
      <c r="E131" s="3529" t="s">
        <v>289</v>
      </c>
      <c r="F131" s="3530" t="s">
        <v>19</v>
      </c>
      <c r="G131" s="3529"/>
      <c r="H131" s="3531"/>
      <c r="I131" s="3532"/>
      <c r="J131" s="247"/>
      <c r="K131" s="248"/>
      <c r="L131" s="248"/>
      <c r="M131" s="248"/>
      <c r="N131" s="3533"/>
      <c r="O131" s="248"/>
      <c r="P131" s="248"/>
      <c r="Q131" s="248"/>
      <c r="R131" s="250"/>
      <c r="S131" s="248"/>
      <c r="T131" s="248"/>
      <c r="U131" s="248"/>
      <c r="V131" s="250"/>
      <c r="W131" s="251"/>
      <c r="AC131" s="3534" t="s">
        <v>290</v>
      </c>
      <c r="AD131" s="3534" t="s">
        <v>291</v>
      </c>
      <c r="AE131" s="3534" t="s">
        <v>292</v>
      </c>
      <c r="AF131" s="3534" t="s">
        <v>293</v>
      </c>
      <c r="AH131" s="3534" t="str">
        <f>IF($E$131=0,"",$E$131)</f>
        <v>Тариф на подключение (технологическое присоединение) к централизованной системе водоотведения</v>
      </c>
      <c r="AI131" s="3534" t="str">
        <f>IF($G$131=0,"",$G$131)</f>
        <v/>
      </c>
      <c r="AJ131" s="3534" t="str">
        <f>IF($J$131=0,"",$J$131)</f>
        <v/>
      </c>
      <c r="AK131" s="3534" t="str">
        <f>IF($K$131="нет","без дифференциации",IF($N$131=0,"",$N$131))</f>
        <v/>
      </c>
      <c r="AL131" s="3534" t="str">
        <f>IF($O$131="нет","без дифференциации",IF($R$131=0,"",$R$131))</f>
        <v/>
      </c>
      <c r="AM131" s="3534" t="str">
        <f>IF($S$131="нет","без дифференциации",IF($V$131=0,"",$V$131))</f>
        <v/>
      </c>
      <c r="AN131" s="263">
        <f>$I$131</f>
        <v>0</v>
      </c>
      <c r="AO131" s="3534" t="str">
        <f>$I$131&amp;"."&amp;$M$131</f>
        <v>.</v>
      </c>
      <c r="AP131" s="3510" t="str">
        <f>$I$131&amp;"."&amp;$M$131&amp;"."&amp;$Q$131</f>
        <v>..</v>
      </c>
      <c r="AQ131" s="3510" t="str">
        <f>$I$131&amp;"."&amp;$M$131&amp;"."&amp;$Q$131&amp;"."&amp;$U$131</f>
        <v>...</v>
      </c>
      <c r="AR131" s="3489">
        <v>0</v>
      </c>
    </row>
    <row customHeight="1" ht="17.25" hidden="1">
      <c r="D132" s="3528"/>
      <c r="E132" s="3529"/>
      <c r="F132" s="3535"/>
      <c r="G132" s="3529"/>
      <c r="H132" s="3536"/>
      <c r="W132" s="3537"/>
      <c r="AR132" s="3489">
        <v>0</v>
      </c>
    </row>
    <row customHeight="1" ht="17.25" hidden="1">
      <c r="D133" s="215"/>
      <c r="E133" s="256"/>
      <c r="F133" s="3535"/>
      <c r="G133" s="256"/>
      <c r="H133" s="3536"/>
      <c r="W133" s="3537"/>
      <c r="AR133" s="3489">
        <v>0</v>
      </c>
    </row>
    <row customHeight="1" ht="17.25" hidden="1">
      <c r="D134" s="215"/>
      <c r="E134" s="256"/>
      <c r="F134" s="3535"/>
      <c r="G134" s="256"/>
      <c r="H134" s="3536"/>
      <c r="W134" s="3537"/>
      <c r="AR134" s="3489">
        <v>0</v>
      </c>
    </row>
    <row customHeight="1" ht="17.25" hidden="1">
      <c r="D135" s="215"/>
      <c r="E135" s="256"/>
      <c r="F135" s="3538"/>
      <c r="G135" s="256"/>
      <c r="H135" s="3539"/>
      <c r="I135" s="3540"/>
      <c r="J135" s="3540"/>
      <c r="K135" s="3540"/>
      <c r="L135" s="3540"/>
      <c r="M135" s="3540"/>
      <c r="N135" s="3540"/>
      <c r="O135" s="3540"/>
      <c r="P135" s="3540"/>
      <c r="Q135" s="3540"/>
      <c r="R135" s="3540"/>
      <c r="S135" s="3541"/>
      <c r="T135" s="3541"/>
      <c r="U135" s="3541"/>
      <c r="V135" s="3541"/>
      <c r="W135" s="3542"/>
      <c r="AR135" s="3489">
        <v>0</v>
      </c>
    </row>
    <row customHeight="1" ht="11.549999999999999">
      <c r="AR136" s="3489">
        <v>11</v>
      </c>
    </row>
    <row customHeight="1" ht="11.549999999999999">
      <c r="AR137" s="3489">
        <v>11</v>
      </c>
    </row>
    <row customHeight="1" ht="11.549999999999999">
      <c r="AR138" s="3489">
        <v>11</v>
      </c>
    </row>
    <row customHeight="1" ht="11.549999999999999">
      <c r="AR139" s="3489">
        <v>11</v>
      </c>
    </row>
    <row customHeight="1" ht="11.549999999999999">
      <c r="AR140" s="3489">
        <v>11</v>
      </c>
    </row>
    <row customHeight="1" ht="11.549999999999999">
      <c r="AR141" s="3489">
        <v>11</v>
      </c>
    </row>
    <row customHeight="1" ht="11.549999999999999">
      <c r="AR142" s="3489">
        <v>11</v>
      </c>
    </row>
    <row customHeight="1" ht="11.549999999999999">
      <c r="AR143" s="3489">
        <v>11</v>
      </c>
    </row>
    <row customHeight="1" ht="11.549999999999999">
      <c r="AR144" s="3489">
        <v>11</v>
      </c>
    </row>
    <row customHeight="1" ht="11.549999999999999">
      <c r="AR145" s="3489">
        <v>11</v>
      </c>
    </row>
    <row customHeight="1" ht="11.25" hidden="1">
      <c r="A146" s="3479" t="s">
        <v>80</v>
      </c>
      <c r="B146" s="3479">
        <v>0</v>
      </c>
      <c r="C146" s="3489">
        <v>3</v>
      </c>
      <c r="D146" s="3489">
        <v>6</v>
      </c>
      <c r="E146" s="3489">
        <v>42</v>
      </c>
      <c r="F146" s="3489">
        <v>14</v>
      </c>
      <c r="G146" s="3489">
        <v>42</v>
      </c>
      <c r="H146" s="3489">
        <v>3</v>
      </c>
      <c r="I146" s="3489">
        <v>5</v>
      </c>
      <c r="J146" s="3489">
        <v>47</v>
      </c>
      <c r="K146" s="3489">
        <v>3</v>
      </c>
      <c r="L146" s="3489">
        <v>3</v>
      </c>
      <c r="M146" s="3489">
        <v>5</v>
      </c>
      <c r="N146" s="3489">
        <v>28</v>
      </c>
      <c r="O146" s="3489">
        <v>3</v>
      </c>
      <c r="P146" s="3489">
        <v>3</v>
      </c>
      <c r="Q146" s="3489">
        <v>5</v>
      </c>
      <c r="R146" s="3489">
        <v>34</v>
      </c>
      <c r="S146" s="3489">
        <v>0</v>
      </c>
      <c r="T146" s="3489">
        <v>0</v>
      </c>
      <c r="U146" s="3489">
        <v>0</v>
      </c>
      <c r="V146" s="3489">
        <v>0</v>
      </c>
      <c r="W146" s="3489">
        <v>30</v>
      </c>
      <c r="X146" s="3489">
        <v>3</v>
      </c>
      <c r="Y146" s="3510">
        <v>0</v>
      </c>
      <c r="Z146" s="3510">
        <v>0</v>
      </c>
      <c r="AA146" s="3510">
        <v>0</v>
      </c>
      <c r="AB146" s="3510">
        <v>0</v>
      </c>
      <c r="AC146" s="3510">
        <v>0</v>
      </c>
      <c r="AD146" s="3510">
        <v>0</v>
      </c>
      <c r="AE146" s="3510">
        <v>0</v>
      </c>
      <c r="AF146" s="3510">
        <v>0</v>
      </c>
      <c r="AG146" s="3510">
        <v>0</v>
      </c>
      <c r="AH146" s="3510">
        <v>0</v>
      </c>
      <c r="AI146" s="3510">
        <v>0</v>
      </c>
      <c r="AJ146" s="3510">
        <v>0</v>
      </c>
      <c r="AK146" s="3510">
        <v>0</v>
      </c>
      <c r="AL146" s="3510">
        <v>0</v>
      </c>
      <c r="AM146" s="3510">
        <v>0</v>
      </c>
      <c r="AN146" s="3510">
        <v>0</v>
      </c>
      <c r="AO146" s="3510">
        <v>0</v>
      </c>
      <c r="AP146" s="3510">
        <v>0</v>
      </c>
      <c r="AQ146" s="3510">
        <v>0</v>
      </c>
      <c r="AR146" s="348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A3FFF-B952-5143-0063-40AE7A4B16A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7348" width="9.140625" hidden="1"/>
    <col min="3" max="4" style="7348" width="3.00390625" customWidth="1"/>
    <col min="5" max="6" style="7348" width="15.00390625" customWidth="1"/>
    <col min="7" max="7" style="7348" width="11.57421875" customWidth="1"/>
    <col min="8" max="9" style="7348" width="3.00390625" customWidth="1"/>
    <col min="10" max="10" style="7348" width="12.00390625" customWidth="1"/>
    <col min="11" max="11" style="7348" width="0.28125" customWidth="1"/>
    <col min="12" max="13" style="7348" width="10.00390625" customWidth="1"/>
    <col min="14" max="15" style="7348" width="3.00390625" customWidth="1"/>
    <col min="16" max="16" style="7348" width="19.00390625" customWidth="1"/>
    <col min="17" max="17" style="7348" width="0.28125" customWidth="1"/>
    <col min="18" max="19" style="7348" width="10.00390625" customWidth="1"/>
    <col min="20" max="21" style="7348" width="3.00390625" customWidth="1"/>
    <col min="22" max="22" style="7348" width="25.00390625" customWidth="1"/>
    <col min="23" max="23" style="7348" width="0.28125" customWidth="1"/>
    <col min="24" max="25" style="7348" width="10.00390625" customWidth="1"/>
    <col min="26" max="27" style="7348" width="3.00390625" customWidth="1"/>
    <col min="28" max="28" style="7348" width="16.00390625" customWidth="1"/>
    <col min="29" max="29" style="7348" width="0.28125" customWidth="1"/>
    <col min="30" max="31" style="7348" width="10.00390625" customWidth="1"/>
    <col min="32" max="33" style="7348" width="3.00390625" customWidth="1"/>
    <col min="34" max="34" style="7348" width="8.00390625" customWidth="1"/>
    <col min="35" max="35" style="7348" width="21.00390625" customWidth="1"/>
    <col min="36" max="64" style="7348" width="8.00390625" customWidth="1"/>
    <col min="65" max="65" style="7348" width="9.140625" hidden="1"/>
  </cols>
  <sheetData>
    <row customHeight="1" ht="11.25" hidden="1">
      <c r="BM1" s="273" t="s">
        <v>14</v>
      </c>
    </row>
    <row customHeight="1" ht="11.25" hidden="1">
      <c r="L2" s="274" t="s">
        <v>294</v>
      </c>
      <c r="M2" s="274" t="s">
        <v>295</v>
      </c>
      <c r="R2" s="274" t="s">
        <v>296</v>
      </c>
      <c r="S2" s="274" t="s">
        <v>295</v>
      </c>
      <c r="X2" s="274" t="s">
        <v>294</v>
      </c>
      <c r="Y2" s="274" t="s">
        <v>295</v>
      </c>
      <c r="AD2" s="274" t="s">
        <v>294</v>
      </c>
      <c r="AE2" s="274" t="s">
        <v>295</v>
      </c>
      <c r="BM2" s="274">
        <v>0</v>
      </c>
    </row>
    <row customHeight="1" ht="11.549999999999999">
      <c r="BM3" s="275">
        <v>11</v>
      </c>
    </row>
    <row customHeight="1" ht="34.5">
      <c r="D4" s="3553" t="s">
        <v>297</v>
      </c>
      <c r="E4" s="3553"/>
      <c r="F4" s="3553"/>
      <c r="G4" s="3553"/>
      <c r="H4" s="3553"/>
      <c r="I4" s="3553"/>
      <c r="J4" s="3553"/>
      <c r="BM4" s="3475">
        <v>33</v>
      </c>
    </row>
    <row customHeight="1" ht="14.699999999999998">
      <c r="D5" s="3554" t="str">
        <f>IF(org=0,"Не определено",org)</f>
        <v>ООО "ТеплоЭлектроГенерирующая Компания"</v>
      </c>
      <c r="E5" s="3554"/>
      <c r="F5" s="3554"/>
      <c r="G5" s="3554"/>
      <c r="H5" s="3554"/>
      <c r="I5" s="3554"/>
      <c r="J5" s="3554"/>
      <c r="BM5" s="3475">
        <v>14</v>
      </c>
    </row>
    <row customHeight="1" ht="14.699999999999998">
      <c r="BM6" s="3475">
        <v>14</v>
      </c>
    </row>
    <row customHeight="1" ht="1.05">
      <c r="BM7" s="273">
        <v>1</v>
      </c>
    </row>
    <row customHeight="1" ht="33.75">
      <c r="D8" s="3480" t="s">
        <v>86</v>
      </c>
      <c r="E8" s="3480" t="s">
        <v>103</v>
      </c>
      <c r="F8" s="3555" t="s">
        <v>140</v>
      </c>
      <c r="G8" s="3556"/>
      <c r="H8" s="3555" t="s">
        <v>86</v>
      </c>
      <c r="I8" s="3556"/>
      <c r="J8" s="3480" t="s">
        <v>141</v>
      </c>
      <c r="K8" s="3557"/>
      <c r="L8" s="3558" t="s">
        <v>298</v>
      </c>
      <c r="M8" s="3558"/>
      <c r="N8" s="3558"/>
      <c r="O8" s="3558"/>
      <c r="P8" s="3558"/>
      <c r="Q8" s="3555"/>
      <c r="R8" s="3437" t="s">
        <v>299</v>
      </c>
      <c r="S8" s="3477"/>
      <c r="T8" s="3477"/>
      <c r="U8" s="3477"/>
      <c r="V8" s="3477"/>
      <c r="W8" s="3555"/>
      <c r="X8" s="3480" t="s">
        <v>300</v>
      </c>
      <c r="Y8" s="3480"/>
      <c r="Z8" s="3480"/>
      <c r="AA8" s="3480"/>
      <c r="AB8" s="3480"/>
      <c r="AC8" s="3558"/>
      <c r="AD8" s="3480" t="s">
        <v>301</v>
      </c>
      <c r="AE8" s="3480"/>
      <c r="AF8" s="3480"/>
      <c r="AG8" s="3480"/>
      <c r="AH8" s="3437"/>
      <c r="AI8" s="3480" t="s">
        <v>302</v>
      </c>
      <c r="BM8" s="164">
        <v>32</v>
      </c>
    </row>
    <row customHeight="1" ht="23.25">
      <c r="D9" s="3480"/>
      <c r="E9" s="3480"/>
      <c r="F9" s="3558" t="s">
        <v>87</v>
      </c>
      <c r="G9" s="3558" t="s">
        <v>146</v>
      </c>
      <c r="H9" s="3559"/>
      <c r="I9" s="3560"/>
      <c r="J9" s="3437"/>
      <c r="K9" s="3559"/>
      <c r="L9" s="3480" t="s">
        <v>303</v>
      </c>
      <c r="M9" s="3437"/>
      <c r="N9" s="3555" t="s">
        <v>86</v>
      </c>
      <c r="O9" s="3556"/>
      <c r="P9" s="3480" t="s">
        <v>147</v>
      </c>
      <c r="Q9" s="3557"/>
      <c r="R9" s="3480" t="s">
        <v>303</v>
      </c>
      <c r="S9" s="3437"/>
      <c r="T9" s="3555" t="s">
        <v>86</v>
      </c>
      <c r="U9" s="3556"/>
      <c r="V9" s="3480" t="s">
        <v>147</v>
      </c>
      <c r="W9" s="3557"/>
      <c r="X9" s="3480" t="s">
        <v>303</v>
      </c>
      <c r="Y9" s="3437"/>
      <c r="Z9" s="3555" t="s">
        <v>86</v>
      </c>
      <c r="AA9" s="3556"/>
      <c r="AB9" s="3480" t="s">
        <v>304</v>
      </c>
      <c r="AC9" s="3557"/>
      <c r="AD9" s="3480" t="s">
        <v>303</v>
      </c>
      <c r="AE9" s="3437"/>
      <c r="AF9" s="3555" t="s">
        <v>86</v>
      </c>
      <c r="AG9" s="3556"/>
      <c r="AH9" s="3437" t="s">
        <v>304</v>
      </c>
      <c r="AI9" s="3480"/>
      <c r="BM9" s="164">
        <v>22</v>
      </c>
    </row>
    <row customHeight="1" ht="24">
      <c r="D10" s="3558"/>
      <c r="E10" s="3558"/>
      <c r="F10" s="3557"/>
      <c r="G10" s="3557"/>
      <c r="H10" s="3561"/>
      <c r="I10" s="3562"/>
      <c r="J10" s="3555"/>
      <c r="K10" s="3559"/>
      <c r="L10" s="3558" t="s">
        <v>305</v>
      </c>
      <c r="M10" s="3555" t="s">
        <v>306</v>
      </c>
      <c r="N10" s="3559"/>
      <c r="O10" s="3560"/>
      <c r="P10" s="3558"/>
      <c r="Q10" s="3557"/>
      <c r="R10" s="3558" t="s">
        <v>305</v>
      </c>
      <c r="S10" s="3555" t="s">
        <v>306</v>
      </c>
      <c r="T10" s="3559"/>
      <c r="U10" s="3560"/>
      <c r="V10" s="3558"/>
      <c r="W10" s="3557"/>
      <c r="X10" s="3558" t="s">
        <v>305</v>
      </c>
      <c r="Y10" s="3555" t="s">
        <v>306</v>
      </c>
      <c r="Z10" s="3559"/>
      <c r="AA10" s="3560"/>
      <c r="AB10" s="3558"/>
      <c r="AC10" s="3557"/>
      <c r="AD10" s="3558" t="s">
        <v>305</v>
      </c>
      <c r="AE10" s="3555" t="s">
        <v>306</v>
      </c>
      <c r="AF10" s="3559"/>
      <c r="AG10" s="3560"/>
      <c r="AH10" s="3555"/>
      <c r="AI10" s="3558"/>
      <c r="AK10" s="286" t="s">
        <v>307</v>
      </c>
      <c r="AL10" s="286" t="s">
        <v>148</v>
      </c>
      <c r="BM10" s="164">
        <v>23</v>
      </c>
    </row>
    <row customHeight="1" ht="15">
      <c r="D11" s="287" t="s">
        <v>107</v>
      </c>
      <c r="E11" s="3563" t="s">
        <v>308</v>
      </c>
      <c r="F11" s="3563" t="s">
        <v>309</v>
      </c>
      <c r="G11" s="289" t="s">
        <v>19</v>
      </c>
      <c r="H11" s="290"/>
      <c r="I11" s="3564"/>
      <c r="J11" s="247"/>
      <c r="K11" s="247"/>
      <c r="L11" s="248"/>
      <c r="M11" s="248"/>
      <c r="N11" s="292"/>
      <c r="O11" s="248"/>
      <c r="P11" s="247"/>
      <c r="Q11" s="247"/>
      <c r="R11" s="248"/>
      <c r="S11" s="248"/>
      <c r="T11" s="293"/>
      <c r="U11" s="248"/>
      <c r="V11" s="247"/>
      <c r="W11" s="248"/>
      <c r="X11" s="248"/>
      <c r="Y11" s="248"/>
      <c r="Z11" s="292"/>
      <c r="AA11" s="248"/>
      <c r="AB11" s="247"/>
      <c r="AC11" s="3565"/>
      <c r="AD11" s="248"/>
      <c r="AE11" s="248"/>
      <c r="AF11" s="248"/>
      <c r="AG11" s="248"/>
      <c r="AH11" s="292"/>
      <c r="AI11" s="251"/>
      <c r="BM11" s="164">
        <v>14</v>
      </c>
    </row>
    <row customHeight="1" ht="14.699999999999998">
      <c r="D12" s="287"/>
      <c r="E12" s="3563"/>
      <c r="F12" s="3563"/>
      <c r="G12" s="295"/>
      <c r="H12" s="296"/>
      <c r="AI12" s="3537"/>
      <c r="BM12" s="164">
        <v>14</v>
      </c>
    </row>
    <row customHeight="1" ht="14.699999999999998">
      <c r="D13" s="287"/>
      <c r="E13" s="3563"/>
      <c r="F13" s="3563"/>
      <c r="G13" s="295"/>
      <c r="H13" s="296"/>
      <c r="AI13" s="3537"/>
      <c r="BM13" s="164">
        <v>14</v>
      </c>
    </row>
    <row customHeight="1" ht="14.699999999999998">
      <c r="D14" s="287"/>
      <c r="E14" s="3563"/>
      <c r="F14" s="3563"/>
      <c r="G14" s="295"/>
      <c r="H14" s="296"/>
      <c r="AI14" s="3537"/>
      <c r="BM14" s="164">
        <v>14</v>
      </c>
    </row>
    <row customHeight="1" ht="11.549999999999999">
      <c r="D15" s="287"/>
      <c r="E15" s="3563"/>
      <c r="F15" s="3563"/>
      <c r="G15" s="295"/>
      <c r="H15" s="3566"/>
      <c r="AI15" s="3537"/>
      <c r="BM15" s="164">
        <v>11</v>
      </c>
    </row>
    <row customHeight="1" ht="11.549999999999999">
      <c r="D16" s="298"/>
      <c r="E16" s="3567"/>
      <c r="F16" s="3568"/>
      <c r="G16" s="206"/>
      <c r="H16" s="301"/>
      <c r="I16" s="302"/>
      <c r="J16" s="3540"/>
      <c r="K16" s="3540"/>
      <c r="L16" s="3540"/>
      <c r="M16" s="3540"/>
      <c r="N16" s="3540"/>
      <c r="O16" s="3540"/>
      <c r="P16" s="3540"/>
      <c r="Q16" s="3540"/>
      <c r="R16" s="3540"/>
      <c r="S16" s="3540"/>
      <c r="T16" s="3540"/>
      <c r="U16" s="3540"/>
      <c r="V16" s="3540"/>
      <c r="W16" s="3540"/>
      <c r="X16" s="3540"/>
      <c r="Y16" s="3540"/>
      <c r="Z16" s="3540"/>
      <c r="AA16" s="3540"/>
      <c r="AB16" s="3540"/>
      <c r="AC16" s="3540"/>
      <c r="AD16" s="3540"/>
      <c r="AE16" s="3540"/>
      <c r="AF16" s="3540"/>
      <c r="AG16" s="3540"/>
      <c r="AH16" s="3540"/>
      <c r="AI16" s="3542"/>
      <c r="BM16" s="275">
        <v>11</v>
      </c>
    </row>
    <row customHeight="1" ht="15">
      <c r="D17" s="287" t="s">
        <v>108</v>
      </c>
      <c r="E17" s="3563" t="s">
        <v>308</v>
      </c>
      <c r="F17" s="3563" t="s">
        <v>310</v>
      </c>
      <c r="G17" s="289" t="s">
        <v>19</v>
      </c>
      <c r="H17" s="290"/>
      <c r="I17" s="3564"/>
      <c r="J17" s="247"/>
      <c r="K17" s="247"/>
      <c r="L17" s="248"/>
      <c r="M17" s="248"/>
      <c r="N17" s="292"/>
      <c r="O17" s="248"/>
      <c r="P17" s="247"/>
      <c r="Q17" s="247"/>
      <c r="R17" s="248"/>
      <c r="S17" s="248"/>
      <c r="T17" s="293"/>
      <c r="U17" s="248"/>
      <c r="V17" s="247"/>
      <c r="W17" s="248"/>
      <c r="X17" s="248"/>
      <c r="Y17" s="248"/>
      <c r="Z17" s="292"/>
      <c r="AA17" s="248"/>
      <c r="AB17" s="247"/>
      <c r="AC17" s="3565"/>
      <c r="AD17" s="248"/>
      <c r="AE17" s="248"/>
      <c r="AF17" s="248"/>
      <c r="AG17" s="248"/>
      <c r="AH17" s="292"/>
      <c r="AI17" s="251"/>
      <c r="BM17" s="164">
        <v>14</v>
      </c>
    </row>
    <row customHeight="1" ht="14.699999999999998">
      <c r="D18" s="287"/>
      <c r="E18" s="3563"/>
      <c r="F18" s="3563"/>
      <c r="G18" s="295"/>
      <c r="H18" s="296"/>
      <c r="AI18" s="3537"/>
      <c r="BM18" s="164">
        <v>14</v>
      </c>
    </row>
    <row customHeight="1" ht="14.699999999999998">
      <c r="D19" s="287"/>
      <c r="E19" s="3563"/>
      <c r="F19" s="3563"/>
      <c r="G19" s="295"/>
      <c r="H19" s="296"/>
      <c r="AI19" s="3537"/>
      <c r="BM19" s="164">
        <v>14</v>
      </c>
    </row>
    <row customHeight="1" ht="14.699999999999998">
      <c r="D20" s="287"/>
      <c r="E20" s="3563"/>
      <c r="F20" s="3563"/>
      <c r="G20" s="295"/>
      <c r="H20" s="296"/>
      <c r="AI20" s="3537"/>
      <c r="BM20" s="164">
        <v>14</v>
      </c>
    </row>
    <row customHeight="1" ht="11.549999999999999">
      <c r="D21" s="287"/>
      <c r="E21" s="3563"/>
      <c r="F21" s="3563"/>
      <c r="G21" s="295"/>
      <c r="H21" s="3566"/>
      <c r="AI21" s="3537"/>
      <c r="BM21" s="164">
        <v>11</v>
      </c>
    </row>
    <row customHeight="1" ht="11.549999999999999">
      <c r="D22" s="298"/>
      <c r="E22" s="3567"/>
      <c r="F22" s="3568"/>
      <c r="G22" s="206"/>
      <c r="H22" s="301"/>
      <c r="I22" s="302"/>
      <c r="J22" s="3540"/>
      <c r="K22" s="3540"/>
      <c r="L22" s="3540"/>
      <c r="M22" s="3540"/>
      <c r="N22" s="3540"/>
      <c r="O22" s="3540"/>
      <c r="P22" s="3540"/>
      <c r="Q22" s="3540"/>
      <c r="R22" s="3540"/>
      <c r="S22" s="3540"/>
      <c r="T22" s="3540"/>
      <c r="U22" s="3540"/>
      <c r="V22" s="3540"/>
      <c r="W22" s="3540"/>
      <c r="X22" s="3540"/>
      <c r="Y22" s="3540"/>
      <c r="Z22" s="3540"/>
      <c r="AA22" s="3540"/>
      <c r="AB22" s="3540"/>
      <c r="AC22" s="3540"/>
      <c r="AD22" s="3540"/>
      <c r="AE22" s="3540"/>
      <c r="AF22" s="3540"/>
      <c r="AG22" s="3540"/>
      <c r="AH22" s="3540"/>
      <c r="AI22" s="3542"/>
      <c r="BM22" s="275">
        <v>11</v>
      </c>
    </row>
    <row customHeight="1" ht="15">
      <c r="D23" s="287" t="s">
        <v>88</v>
      </c>
      <c r="E23" s="3563" t="s">
        <v>308</v>
      </c>
      <c r="F23" s="3563" t="s">
        <v>311</v>
      </c>
      <c r="G23" s="289" t="s">
        <v>19</v>
      </c>
      <c r="H23" s="290"/>
      <c r="I23" s="3564"/>
      <c r="J23" s="247"/>
      <c r="K23" s="247"/>
      <c r="L23" s="248"/>
      <c r="M23" s="248"/>
      <c r="N23" s="292"/>
      <c r="O23" s="248"/>
      <c r="P23" s="247"/>
      <c r="Q23" s="247"/>
      <c r="R23" s="248"/>
      <c r="S23" s="248"/>
      <c r="T23" s="293"/>
      <c r="U23" s="248"/>
      <c r="V23" s="247"/>
      <c r="W23" s="248"/>
      <c r="X23" s="248"/>
      <c r="Y23" s="248"/>
      <c r="Z23" s="292"/>
      <c r="AA23" s="248"/>
      <c r="AB23" s="247"/>
      <c r="AC23" s="3565"/>
      <c r="AD23" s="248"/>
      <c r="AE23" s="248"/>
      <c r="AF23" s="248"/>
      <c r="AG23" s="248"/>
      <c r="AH23" s="292"/>
      <c r="AI23" s="251"/>
      <c r="AK23" s="303" t="s">
        <v>96</v>
      </c>
      <c r="BM23" s="164">
        <v>14</v>
      </c>
    </row>
    <row customHeight="1" ht="14.699999999999998">
      <c r="D24" s="287"/>
      <c r="E24" s="3563"/>
      <c r="F24" s="3563"/>
      <c r="G24" s="295"/>
      <c r="H24" s="296"/>
      <c r="AI24" s="3537"/>
      <c r="BM24" s="164">
        <v>14</v>
      </c>
    </row>
    <row customHeight="1" ht="14.699999999999998">
      <c r="D25" s="287"/>
      <c r="E25" s="3563"/>
      <c r="F25" s="3563"/>
      <c r="G25" s="295"/>
      <c r="H25" s="296"/>
      <c r="AI25" s="3537"/>
      <c r="BM25" s="164">
        <v>14</v>
      </c>
    </row>
    <row customHeight="1" ht="14.699999999999998">
      <c r="D26" s="287"/>
      <c r="E26" s="3563"/>
      <c r="F26" s="3563"/>
      <c r="G26" s="295"/>
      <c r="H26" s="296"/>
      <c r="AI26" s="3537"/>
      <c r="BM26" s="164">
        <v>14</v>
      </c>
    </row>
    <row customHeight="1" ht="11.549999999999999">
      <c r="D27" s="287"/>
      <c r="E27" s="3563"/>
      <c r="F27" s="3563"/>
      <c r="G27" s="295"/>
      <c r="H27" s="3566"/>
      <c r="AI27" s="3537"/>
      <c r="BM27" s="164">
        <v>11</v>
      </c>
    </row>
    <row customHeight="1" ht="11.549999999999999">
      <c r="D28" s="298"/>
      <c r="E28" s="3567"/>
      <c r="F28" s="3568"/>
      <c r="G28" s="206"/>
      <c r="H28" s="301"/>
      <c r="I28" s="302"/>
      <c r="J28" s="3540"/>
      <c r="K28" s="3540"/>
      <c r="L28" s="3540"/>
      <c r="M28" s="3540"/>
      <c r="N28" s="3540"/>
      <c r="O28" s="3540"/>
      <c r="P28" s="3540"/>
      <c r="Q28" s="3540"/>
      <c r="R28" s="3540"/>
      <c r="S28" s="3540"/>
      <c r="T28" s="3540"/>
      <c r="U28" s="3540"/>
      <c r="V28" s="3540"/>
      <c r="W28" s="3540"/>
      <c r="X28" s="3540"/>
      <c r="Y28" s="3540"/>
      <c r="Z28" s="3540"/>
      <c r="AA28" s="3540"/>
      <c r="AB28" s="3540"/>
      <c r="AC28" s="3540"/>
      <c r="AD28" s="3540"/>
      <c r="AE28" s="3540"/>
      <c r="AF28" s="3540"/>
      <c r="AG28" s="3540"/>
      <c r="AH28" s="3540"/>
      <c r="AI28" s="3542"/>
      <c r="BM28" s="275">
        <v>11</v>
      </c>
    </row>
    <row customHeight="1" ht="15">
      <c r="D29" s="287" t="s">
        <v>89</v>
      </c>
      <c r="E29" s="3563" t="s">
        <v>308</v>
      </c>
      <c r="F29" s="3563" t="s">
        <v>312</v>
      </c>
      <c r="G29" s="289" t="s">
        <v>19</v>
      </c>
      <c r="H29" s="290"/>
      <c r="I29" s="3564"/>
      <c r="J29" s="247"/>
      <c r="K29" s="247"/>
      <c r="L29" s="248"/>
      <c r="M29" s="248"/>
      <c r="N29" s="292"/>
      <c r="O29" s="248"/>
      <c r="P29" s="247"/>
      <c r="Q29" s="247"/>
      <c r="R29" s="248"/>
      <c r="S29" s="248"/>
      <c r="T29" s="293"/>
      <c r="U29" s="248"/>
      <c r="V29" s="247"/>
      <c r="W29" s="248"/>
      <c r="X29" s="248"/>
      <c r="Y29" s="248"/>
      <c r="Z29" s="292"/>
      <c r="AA29" s="248"/>
      <c r="AB29" s="247"/>
      <c r="AC29" s="3565"/>
      <c r="AD29" s="248"/>
      <c r="AE29" s="248"/>
      <c r="AF29" s="248"/>
      <c r="AG29" s="248"/>
      <c r="AH29" s="292"/>
      <c r="AI29" s="251"/>
      <c r="BM29" s="164">
        <v>14</v>
      </c>
    </row>
    <row customHeight="1" ht="14.699999999999998">
      <c r="D30" s="287"/>
      <c r="E30" s="3563"/>
      <c r="F30" s="3563"/>
      <c r="G30" s="295"/>
      <c r="H30" s="296"/>
      <c r="AI30" s="3537"/>
      <c r="BM30" s="164">
        <v>14</v>
      </c>
    </row>
    <row customHeight="1" ht="14.699999999999998">
      <c r="D31" s="287"/>
      <c r="E31" s="3563"/>
      <c r="F31" s="3563"/>
      <c r="G31" s="295"/>
      <c r="H31" s="296"/>
      <c r="AI31" s="3537"/>
      <c r="BM31" s="164">
        <v>14</v>
      </c>
    </row>
    <row customHeight="1" ht="14.699999999999998">
      <c r="D32" s="287"/>
      <c r="E32" s="3563"/>
      <c r="F32" s="3563"/>
      <c r="G32" s="295"/>
      <c r="H32" s="296"/>
      <c r="AI32" s="3537"/>
      <c r="BM32" s="164">
        <v>14</v>
      </c>
    </row>
    <row customHeight="1" ht="11.549999999999999">
      <c r="D33" s="287"/>
      <c r="E33" s="3563"/>
      <c r="F33" s="3563"/>
      <c r="G33" s="295"/>
      <c r="H33" s="3566"/>
      <c r="AI33" s="3537"/>
      <c r="BM33" s="164">
        <v>11</v>
      </c>
    </row>
    <row customHeight="1" ht="11.549999999999999">
      <c r="D34" s="298"/>
      <c r="E34" s="3567"/>
      <c r="F34" s="3568"/>
      <c r="G34" s="206"/>
      <c r="H34" s="301"/>
      <c r="I34" s="302"/>
      <c r="J34" s="3540"/>
      <c r="K34" s="3540"/>
      <c r="L34" s="3540"/>
      <c r="M34" s="3540"/>
      <c r="N34" s="3540"/>
      <c r="O34" s="3540"/>
      <c r="P34" s="3540"/>
      <c r="Q34" s="3540"/>
      <c r="R34" s="3540"/>
      <c r="S34" s="3540"/>
      <c r="T34" s="3540"/>
      <c r="U34" s="3540"/>
      <c r="V34" s="3540"/>
      <c r="W34" s="3540"/>
      <c r="X34" s="3540"/>
      <c r="Y34" s="3540"/>
      <c r="Z34" s="3540"/>
      <c r="AA34" s="3540"/>
      <c r="AB34" s="3540"/>
      <c r="AC34" s="3540"/>
      <c r="AD34" s="3540"/>
      <c r="AE34" s="3540"/>
      <c r="AF34" s="3540"/>
      <c r="AG34" s="3540"/>
      <c r="AH34" s="3540"/>
      <c r="AI34" s="3542"/>
      <c r="BM34" s="275">
        <v>11</v>
      </c>
    </row>
    <row customHeight="1" ht="15">
      <c r="D35" s="287" t="s">
        <v>109</v>
      </c>
      <c r="E35" s="3563" t="s">
        <v>308</v>
      </c>
      <c r="F35" s="3563" t="s">
        <v>313</v>
      </c>
      <c r="G35" s="289" t="s">
        <v>19</v>
      </c>
      <c r="H35" s="290"/>
      <c r="I35" s="3564"/>
      <c r="J35" s="247"/>
      <c r="K35" s="247"/>
      <c r="L35" s="248"/>
      <c r="M35" s="248"/>
      <c r="N35" s="292"/>
      <c r="O35" s="248"/>
      <c r="P35" s="247"/>
      <c r="Q35" s="247"/>
      <c r="R35" s="248"/>
      <c r="S35" s="248"/>
      <c r="T35" s="293"/>
      <c r="U35" s="248"/>
      <c r="V35" s="247"/>
      <c r="W35" s="248"/>
      <c r="X35" s="248"/>
      <c r="Y35" s="248"/>
      <c r="Z35" s="292"/>
      <c r="AA35" s="248"/>
      <c r="AB35" s="247"/>
      <c r="AC35" s="3565"/>
      <c r="AD35" s="248"/>
      <c r="AE35" s="248"/>
      <c r="AF35" s="248"/>
      <c r="AG35" s="248"/>
      <c r="AH35" s="292"/>
      <c r="AI35" s="251"/>
      <c r="BM35" s="164">
        <v>14</v>
      </c>
    </row>
    <row customHeight="1" ht="14.699999999999998">
      <c r="D36" s="287"/>
      <c r="E36" s="3563"/>
      <c r="F36" s="3563"/>
      <c r="G36" s="295"/>
      <c r="H36" s="296"/>
      <c r="AI36" s="3537"/>
      <c r="BM36" s="164">
        <v>14</v>
      </c>
    </row>
    <row customHeight="1" ht="14.699999999999998">
      <c r="D37" s="287"/>
      <c r="E37" s="3563"/>
      <c r="F37" s="3563"/>
      <c r="G37" s="295"/>
      <c r="H37" s="296"/>
      <c r="AI37" s="3537"/>
      <c r="BM37" s="164">
        <v>14</v>
      </c>
    </row>
    <row customHeight="1" ht="14.699999999999998">
      <c r="D38" s="287"/>
      <c r="E38" s="3563"/>
      <c r="F38" s="3563"/>
      <c r="G38" s="295"/>
      <c r="H38" s="296"/>
      <c r="AI38" s="3537"/>
      <c r="BM38" s="164">
        <v>14</v>
      </c>
    </row>
    <row customHeight="1" ht="11.549999999999999">
      <c r="D39" s="287"/>
      <c r="E39" s="3563"/>
      <c r="F39" s="3563"/>
      <c r="G39" s="295"/>
      <c r="H39" s="3566"/>
      <c r="AI39" s="3537"/>
      <c r="BM39" s="164">
        <v>11</v>
      </c>
    </row>
    <row customHeight="1" ht="11.549999999999999">
      <c r="D40" s="287"/>
      <c r="E40" s="3563"/>
      <c r="F40" s="3569"/>
      <c r="G40" s="206"/>
      <c r="H40" s="301"/>
      <c r="I40" s="302"/>
      <c r="J40" s="3540"/>
      <c r="K40" s="3540"/>
      <c r="L40" s="3540"/>
      <c r="M40" s="3540"/>
      <c r="N40" s="3540"/>
      <c r="O40" s="3540"/>
      <c r="P40" s="3540"/>
      <c r="Q40" s="3540"/>
      <c r="R40" s="3540"/>
      <c r="S40" s="3540"/>
      <c r="T40" s="3540"/>
      <c r="U40" s="3540"/>
      <c r="V40" s="3540"/>
      <c r="W40" s="3540"/>
      <c r="X40" s="3540"/>
      <c r="Y40" s="3540"/>
      <c r="Z40" s="3540"/>
      <c r="AA40" s="3540"/>
      <c r="AB40" s="3540"/>
      <c r="AC40" s="3540"/>
      <c r="AD40" s="3540"/>
      <c r="AE40" s="3540"/>
      <c r="AF40" s="3540"/>
      <c r="AG40" s="3540"/>
      <c r="AH40" s="3540"/>
      <c r="AI40" s="3542"/>
      <c r="BM40" s="275">
        <v>11</v>
      </c>
    </row>
    <row customHeight="1" ht="11.549999999999999">
      <c r="BM41" s="164">
        <v>11</v>
      </c>
    </row>
    <row customHeight="1" ht="11.549999999999999">
      <c r="BM42" s="164">
        <v>11</v>
      </c>
    </row>
    <row customHeight="1" ht="11.549999999999999">
      <c r="BM43" s="164">
        <v>11</v>
      </c>
    </row>
    <row customHeight="1" ht="11.549999999999999">
      <c r="BM44" s="164">
        <v>11</v>
      </c>
    </row>
    <row customHeight="1" ht="11.549999999999999">
      <c r="BM45" s="164">
        <v>11</v>
      </c>
    </row>
    <row customHeight="1" ht="11.549999999999999">
      <c r="BM46" s="164">
        <v>11</v>
      </c>
    </row>
    <row customHeight="1" ht="11.549999999999999">
      <c r="BM47" s="164">
        <v>11</v>
      </c>
    </row>
    <row customHeight="1" ht="11.549999999999999">
      <c r="BM48" s="164">
        <v>11</v>
      </c>
    </row>
    <row customHeight="1" ht="11.549999999999999">
      <c r="BM49" s="164">
        <v>11</v>
      </c>
    </row>
    <row customHeight="1" ht="11.25" hidden="1">
      <c r="A50" s="164" t="s">
        <v>80</v>
      </c>
      <c r="B50" s="164">
        <v>0</v>
      </c>
      <c r="C50" s="164">
        <v>3</v>
      </c>
      <c r="D50" s="164">
        <v>3</v>
      </c>
      <c r="E50" s="164">
        <v>15</v>
      </c>
      <c r="F50" s="164">
        <v>15</v>
      </c>
      <c r="G50" s="164">
        <v>11</v>
      </c>
      <c r="H50" s="164">
        <v>3</v>
      </c>
      <c r="I50" s="164">
        <v>3</v>
      </c>
      <c r="J50" s="164">
        <v>12</v>
      </c>
      <c r="K50" s="164">
        <v>0</v>
      </c>
      <c r="L50" s="164">
        <v>10</v>
      </c>
      <c r="M50" s="164">
        <v>10</v>
      </c>
      <c r="N50" s="164">
        <v>3</v>
      </c>
      <c r="O50" s="164">
        <v>3</v>
      </c>
      <c r="P50" s="164">
        <v>19</v>
      </c>
      <c r="Q50" s="164">
        <v>0</v>
      </c>
      <c r="R50" s="164">
        <v>10</v>
      </c>
      <c r="S50" s="164">
        <v>10</v>
      </c>
      <c r="T50" s="164">
        <v>3</v>
      </c>
      <c r="U50" s="164">
        <v>3</v>
      </c>
      <c r="V50" s="164">
        <v>25</v>
      </c>
      <c r="W50" s="164">
        <v>0</v>
      </c>
      <c r="X50" s="164">
        <v>10</v>
      </c>
      <c r="Y50" s="164">
        <v>10</v>
      </c>
      <c r="Z50" s="164">
        <v>3</v>
      </c>
      <c r="AA50" s="164">
        <v>3</v>
      </c>
      <c r="AB50" s="164">
        <v>16</v>
      </c>
      <c r="AC50" s="164">
        <v>0</v>
      </c>
      <c r="AD50" s="164">
        <v>10</v>
      </c>
      <c r="AE50" s="164">
        <v>10</v>
      </c>
      <c r="AF50" s="164">
        <v>3</v>
      </c>
      <c r="AG50" s="164">
        <v>3</v>
      </c>
      <c r="AH50" s="164">
        <v>8</v>
      </c>
      <c r="AI50" s="164">
        <v>21</v>
      </c>
      <c r="AJ50" s="164">
        <v>8</v>
      </c>
      <c r="AK50" s="303">
        <v>8</v>
      </c>
      <c r="AL50" s="164">
        <v>8</v>
      </c>
      <c r="AM50" s="164">
        <v>8</v>
      </c>
      <c r="AN50" s="164">
        <v>8</v>
      </c>
      <c r="AO50" s="164">
        <v>8</v>
      </c>
      <c r="AP50" s="164">
        <v>8</v>
      </c>
      <c r="AQ50" s="164">
        <v>8</v>
      </c>
      <c r="AR50" s="164">
        <v>8</v>
      </c>
      <c r="AS50" s="164">
        <v>8</v>
      </c>
      <c r="AT50" s="164">
        <v>8</v>
      </c>
      <c r="AU50" s="164">
        <v>8</v>
      </c>
      <c r="AV50" s="164">
        <v>8</v>
      </c>
      <c r="AW50" s="164">
        <v>8</v>
      </c>
      <c r="AX50" s="164">
        <v>8</v>
      </c>
      <c r="AY50" s="164">
        <v>8</v>
      </c>
      <c r="AZ50" s="164">
        <v>8</v>
      </c>
      <c r="BA50" s="164">
        <v>8</v>
      </c>
      <c r="BB50" s="164">
        <v>8</v>
      </c>
      <c r="BC50" s="164">
        <v>8</v>
      </c>
      <c r="BD50" s="164">
        <v>8</v>
      </c>
      <c r="BE50" s="164">
        <v>8</v>
      </c>
      <c r="BF50" s="164">
        <v>8</v>
      </c>
      <c r="BG50" s="164">
        <v>8</v>
      </c>
      <c r="BH50" s="164">
        <v>8</v>
      </c>
      <c r="BI50" s="164">
        <v>8</v>
      </c>
      <c r="BJ50" s="164">
        <v>8</v>
      </c>
      <c r="BK50" s="164">
        <v>8</v>
      </c>
      <c r="BL50" s="164">
        <v>8</v>
      </c>
      <c r="BM50" s="1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3C7E4-005F-FBF4-0FE8-9B9A36FEA28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2" style="7348" width="15.00390625" hidden="1" customWidth="1"/>
    <col min="3" max="3" style="7348" width="3.00390625" customWidth="1"/>
    <col min="4" max="4" style="7348" width="6.00390625" customWidth="1"/>
    <col min="5" max="5" style="7348" width="52.00390625" customWidth="1"/>
    <col min="6" max="6" style="7348" width="48.00390625" customWidth="1"/>
    <col min="7" max="7" style="7348" width="121.00390625" customWidth="1"/>
    <col min="8" max="8" style="7348" width="8.00390625" customWidth="1"/>
    <col min="9" max="9" style="7348" width="64.00390625" customWidth="1"/>
    <col min="10" max="10" style="7348" width="9.140625" hidden="1"/>
  </cols>
  <sheetData>
    <row customHeight="1" ht="11.25" hidden="1">
      <c r="A1" s="3570" t="s">
        <v>314</v>
      </c>
      <c r="J1" s="3571" t="s">
        <v>14</v>
      </c>
    </row>
    <row customHeight="1" ht="11.25" hidden="1">
      <c r="J2" s="3571">
        <v>0</v>
      </c>
    </row>
    <row customHeight="1" ht="11.549999999999999">
      <c r="A3" s="3570"/>
      <c r="B3" s="3572"/>
      <c r="D3" s="3573"/>
      <c r="J3" s="3574">
        <v>11</v>
      </c>
    </row>
    <row customHeight="1" ht="27.299999999999997">
      <c r="D4" s="3517" t="str">
        <f>ORG_INFO_NAME_FORM</f>
        <v>Форма 1. Информация об организации, осуществляющей горячее водоснабжение (общая информация)</v>
      </c>
      <c r="E4" s="3518"/>
      <c r="F4" s="3519"/>
      <c r="J4" s="3571">
        <v>26</v>
      </c>
    </row>
    <row customHeight="1" ht="18">
      <c r="D5" s="3554" t="str">
        <f>IF(org=0,"Не определено",org)</f>
        <v>ООО "ТеплоЭлектроГенерирующая Компания"</v>
      </c>
      <c r="E5" s="3554"/>
      <c r="F5" s="3554"/>
      <c r="J5" s="3571">
        <v>17</v>
      </c>
    </row>
    <row customHeight="1" ht="11.549999999999999">
      <c r="A6" s="3570"/>
      <c r="B6" s="3572"/>
      <c r="F6" s="3575"/>
      <c r="J6" s="3574">
        <v>11</v>
      </c>
    </row>
    <row customHeight="1" ht="11.25" hidden="1">
      <c r="A7" s="3450"/>
      <c r="B7" s="3576"/>
      <c r="C7" s="3450"/>
      <c r="D7" s="3445"/>
      <c r="E7" s="3577"/>
      <c r="F7" s="3577"/>
      <c r="J7" s="3571">
        <v>0</v>
      </c>
    </row>
    <row customHeight="1" ht="11.549999999999999">
      <c r="A8" s="3450"/>
      <c r="B8" s="3576"/>
      <c r="C8" s="3450"/>
      <c r="D8" s="313" t="s">
        <v>315</v>
      </c>
      <c r="E8" s="314"/>
      <c r="F8" s="314"/>
      <c r="G8" s="3578" t="s">
        <v>316</v>
      </c>
      <c r="J8" s="3571">
        <v>11</v>
      </c>
    </row>
    <row customHeight="1" ht="11.549999999999999">
      <c r="A9" s="3450"/>
      <c r="B9" s="3576"/>
      <c r="C9" s="3450"/>
      <c r="D9" s="314" t="s">
        <v>86</v>
      </c>
      <c r="E9" s="3578" t="s">
        <v>317</v>
      </c>
      <c r="F9" s="3578" t="s">
        <v>318</v>
      </c>
      <c r="G9" s="3579"/>
      <c r="J9" s="3571">
        <v>11</v>
      </c>
    </row>
    <row customHeight="1" ht="12" hidden="1">
      <c r="A10" s="3450"/>
      <c r="B10" s="3576"/>
      <c r="C10" s="3450"/>
      <c r="D10" s="3580"/>
      <c r="E10" s="3580"/>
      <c r="F10" s="3580"/>
      <c r="G10" s="3580"/>
      <c r="J10" s="3571">
        <v>0</v>
      </c>
    </row>
    <row customHeight="1" ht="22.5" hidden="1">
      <c r="A11" s="3450"/>
      <c r="B11" s="3576"/>
      <c r="C11" s="3450"/>
      <c r="D11" s="318" t="s">
        <v>107</v>
      </c>
      <c r="E11" s="3581" t="s">
        <v>319</v>
      </c>
      <c r="F11" s="3582" t="str">
        <f>IF(region_name="","",region_name)</f>
        <v>Саратовская область</v>
      </c>
      <c r="G11" s="3581" t="s">
        <v>320</v>
      </c>
      <c r="H11" s="3583"/>
      <c r="J11" s="3571">
        <v>0</v>
      </c>
    </row>
    <row customHeight="1" ht="22.5" hidden="1">
      <c r="A12" s="3450"/>
      <c r="B12" s="3576"/>
      <c r="C12" s="3450"/>
      <c r="D12" s="322" t="s">
        <v>107</v>
      </c>
      <c r="E12" s="358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25" t="s">
        <v>321</v>
      </c>
      <c r="G12" s="3585"/>
      <c r="H12" s="3583"/>
      <c r="J12" s="3571">
        <v>0</v>
      </c>
    </row>
    <row customHeight="1" ht="23.25">
      <c r="A13" s="3450"/>
      <c r="B13" s="3576"/>
      <c r="C13" s="3450"/>
      <c r="D13" s="322" t="s">
        <v>107</v>
      </c>
      <c r="E13" s="3586" t="str">
        <f>"Наименование юридического лица"&amp;IF(TEMPLATE_SPHERE="TKO"," (индивидуального предпринимателя)","")</f>
        <v>Наименование юридического лица</v>
      </c>
      <c r="F13" s="326"/>
      <c r="G13" s="358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583"/>
      <c r="J13" s="3571">
        <v>22</v>
      </c>
    </row>
    <row customHeight="1" ht="22.5" hidden="1">
      <c r="A14" s="3450"/>
      <c r="B14" s="3576"/>
      <c r="C14" s="3450"/>
      <c r="D14" s="318" t="s">
        <v>322</v>
      </c>
      <c r="E14" s="3587" t="s">
        <v>323</v>
      </c>
      <c r="F14" s="3582" t="str">
        <f>IF(inn="","",inn)</f>
        <v>6453099119</v>
      </c>
      <c r="G14" s="3581" t="s">
        <v>324</v>
      </c>
      <c r="H14" s="3583"/>
      <c r="J14" s="3571">
        <v>0</v>
      </c>
    </row>
    <row customHeight="1" ht="22.5" hidden="1">
      <c r="A15" s="3450"/>
      <c r="B15" s="3576"/>
      <c r="C15" s="3450"/>
      <c r="D15" s="318" t="s">
        <v>325</v>
      </c>
      <c r="E15" s="3587" t="s">
        <v>326</v>
      </c>
      <c r="F15" s="3582" t="str">
        <f>IF(kpp="","",kpp)</f>
        <v>645001001</v>
      </c>
      <c r="G15" s="3581" t="s">
        <v>327</v>
      </c>
      <c r="H15" s="3583"/>
      <c r="J15" s="3571">
        <v>0</v>
      </c>
    </row>
    <row customHeight="1" ht="39">
      <c r="A16" s="3450"/>
      <c r="B16" s="3576"/>
      <c r="C16" s="3450"/>
      <c r="D16" s="322" t="s">
        <v>108</v>
      </c>
      <c r="E16" s="358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26"/>
      <c r="G16" s="358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583"/>
      <c r="J16" s="3571">
        <v>37</v>
      </c>
    </row>
    <row customHeight="1" ht="23.25">
      <c r="A17" s="3450"/>
      <c r="B17" s="3576"/>
      <c r="C17" s="3450"/>
      <c r="D17" s="322" t="s">
        <v>88</v>
      </c>
      <c r="E17" s="3586" t="str">
        <f>"Дата присвоения ОГРН"&amp;IF(TEMPLATE_SPHERE="TKO",""," (ОГРНИП)")</f>
        <v>Дата присвоения ОГРН (ОГРНИП)</v>
      </c>
      <c r="F17" s="99" t="s">
        <v>22</v>
      </c>
      <c r="G17" s="3584" t="str">
        <f>"Дата присвоения ОГРН"&amp;IF(TEMPLATE_SPHERE="TKO",""," (ОГРНИП)")&amp;" указывается в виде «ДД.ММ.ГГГГ»."</f>
        <v>Дата присвоения ОГРН (ОГРНИП) указывается в виде «ДД.ММ.ГГГГ».</v>
      </c>
      <c r="H17" s="3583"/>
      <c r="J17" s="3571">
        <v>22</v>
      </c>
    </row>
    <row customHeight="1" ht="71.25">
      <c r="A18" s="3450"/>
      <c r="B18" s="3576"/>
      <c r="C18" s="3450"/>
      <c r="D18" s="322" t="s">
        <v>89</v>
      </c>
      <c r="E18" s="358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26"/>
      <c r="G18" s="3585"/>
      <c r="H18" s="3583"/>
      <c r="J18" s="3571">
        <v>68</v>
      </c>
    </row>
    <row customHeight="1" ht="22.5" hidden="1">
      <c r="A19" s="328" t="s">
        <v>328</v>
      </c>
      <c r="B19" s="3576"/>
      <c r="C19" s="3588"/>
      <c r="D19" s="322" t="str">
        <f>A19</f>
        <v>5.1</v>
      </c>
      <c r="E19" s="3586" t="s">
        <v>329</v>
      </c>
      <c r="F19" s="3525" t="s">
        <v>321</v>
      </c>
      <c r="G19" s="3584" t="s">
        <v>330</v>
      </c>
      <c r="H19" s="3583"/>
      <c r="J19" s="3571">
        <v>0</v>
      </c>
    </row>
    <row customHeight="1" ht="24" hidden="1">
      <c r="A20" s="328"/>
      <c r="B20" s="3576"/>
      <c r="C20" s="3588"/>
      <c r="D20" s="3589" t="str">
        <f>D19&amp;".1"</f>
        <v>5.1.1</v>
      </c>
      <c r="E20" s="3590" t="s">
        <v>331</v>
      </c>
      <c r="F20" s="332" t="s">
        <v>22</v>
      </c>
      <c r="G20" s="3585"/>
      <c r="H20" s="3583"/>
      <c r="J20" s="3571">
        <v>0</v>
      </c>
    </row>
    <row customHeight="1" ht="22.5" hidden="1">
      <c r="A21" s="328"/>
      <c r="B21" s="3576"/>
      <c r="C21" s="3588"/>
      <c r="D21" s="3589" t="str">
        <f>D19&amp;".2"</f>
        <v>5.1.2</v>
      </c>
      <c r="E21" s="3590" t="s">
        <v>332</v>
      </c>
      <c r="F21" s="108" t="s">
        <v>22</v>
      </c>
      <c r="G21" s="3584" t="s">
        <v>333</v>
      </c>
      <c r="H21" s="3583"/>
      <c r="J21" s="3571">
        <v>0</v>
      </c>
    </row>
    <row customHeight="1" ht="22.5" hidden="1">
      <c r="A22" s="328"/>
      <c r="B22" s="3576"/>
      <c r="C22" s="3588"/>
      <c r="D22" s="3589" t="str">
        <f>D19&amp;".3"</f>
        <v>5.1.3</v>
      </c>
      <c r="E22" s="3590" t="s">
        <v>334</v>
      </c>
      <c r="F22" s="332" t="s">
        <v>22</v>
      </c>
      <c r="G22" s="3585"/>
      <c r="H22" s="3583"/>
      <c r="J22" s="3571">
        <v>0</v>
      </c>
    </row>
    <row customHeight="1" ht="22.5" hidden="1">
      <c r="A23" s="328"/>
      <c r="B23" s="3576"/>
      <c r="C23" s="3588"/>
      <c r="D23" s="3589" t="str">
        <f>D19&amp;".4"</f>
        <v>5.1.4</v>
      </c>
      <c r="E23" s="3590" t="s">
        <v>335</v>
      </c>
      <c r="F23" s="332" t="s">
        <v>22</v>
      </c>
      <c r="G23" s="3584" t="s">
        <v>336</v>
      </c>
      <c r="H23" s="3583"/>
      <c r="J23" s="3571">
        <v>0</v>
      </c>
    </row>
    <row customHeight="1" ht="22.5" hidden="1">
      <c r="A24" s="333"/>
      <c r="B24" s="3576"/>
      <c r="C24" s="3591"/>
      <c r="D24" s="3592"/>
      <c r="E24" s="167" t="s">
        <v>337</v>
      </c>
      <c r="F24" s="3593"/>
      <c r="G24" s="3594"/>
      <c r="H24" s="3583"/>
      <c r="J24" s="3571">
        <v>0</v>
      </c>
    </row>
    <row customHeight="1" ht="24.75" hidden="1">
      <c r="A25" s="3450"/>
      <c r="B25" s="3576"/>
      <c r="C25" s="3576"/>
      <c r="D25" s="338" t="s">
        <v>88</v>
      </c>
      <c r="E25" s="3595" t="s">
        <v>338</v>
      </c>
      <c r="F25" s="3481" t="s">
        <v>321</v>
      </c>
      <c r="G25" s="3595"/>
      <c r="J25" s="3572">
        <v>0</v>
      </c>
    </row>
    <row customHeight="1" ht="11.25" hidden="1">
      <c r="A26" s="3450"/>
      <c r="B26" s="3576"/>
      <c r="C26" s="3576"/>
      <c r="D26" s="338" t="s">
        <v>339</v>
      </c>
      <c r="E26" s="3596" t="s">
        <v>340</v>
      </c>
      <c r="F26" s="3481" t="s">
        <v>321</v>
      </c>
      <c r="G26" s="3595"/>
      <c r="J26" s="3572">
        <v>0</v>
      </c>
    </row>
    <row customHeight="1" ht="11.25" hidden="1">
      <c r="A27" s="3450"/>
      <c r="B27" s="3576"/>
      <c r="C27" s="3576"/>
      <c r="D27" s="338" t="s">
        <v>341</v>
      </c>
      <c r="E27" s="3597" t="s">
        <v>342</v>
      </c>
      <c r="F27" s="342"/>
      <c r="G27" s="35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3572">
        <v>0</v>
      </c>
    </row>
    <row customHeight="1" ht="11.25" hidden="1">
      <c r="A28" s="3450"/>
      <c r="B28" s="3576"/>
      <c r="C28" s="3576"/>
      <c r="D28" s="338" t="s">
        <v>343</v>
      </c>
      <c r="E28" s="3597" t="s">
        <v>344</v>
      </c>
      <c r="F28" s="342"/>
      <c r="G28" s="35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3572">
        <v>0</v>
      </c>
    </row>
    <row customHeight="1" ht="11.25" hidden="1">
      <c r="A29" s="3450"/>
      <c r="B29" s="3576"/>
      <c r="C29" s="3576"/>
      <c r="D29" s="338" t="s">
        <v>345</v>
      </c>
      <c r="E29" s="3597" t="s">
        <v>346</v>
      </c>
      <c r="F29" s="342"/>
      <c r="G29" s="35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3572">
        <v>0</v>
      </c>
    </row>
    <row customHeight="1" ht="11.25" hidden="1">
      <c r="A30" s="3450"/>
      <c r="B30" s="3576"/>
      <c r="C30" s="3576"/>
      <c r="D30" s="338" t="s">
        <v>347</v>
      </c>
      <c r="E30" s="3596" t="s">
        <v>348</v>
      </c>
      <c r="F30" s="342"/>
      <c r="G30" s="3595"/>
      <c r="J30" s="3572">
        <v>0</v>
      </c>
    </row>
    <row customHeight="1" ht="11.25" hidden="1">
      <c r="A31" s="3450"/>
      <c r="B31" s="3576"/>
      <c r="C31" s="3576"/>
      <c r="D31" s="338" t="s">
        <v>349</v>
      </c>
      <c r="E31" s="3596" t="s">
        <v>350</v>
      </c>
      <c r="F31" s="342"/>
      <c r="G31" s="3595"/>
      <c r="J31" s="3572">
        <v>0</v>
      </c>
    </row>
    <row customHeight="1" ht="11.25" hidden="1">
      <c r="A32" s="3450"/>
      <c r="B32" s="3576"/>
      <c r="C32" s="3576"/>
      <c r="D32" s="338" t="s">
        <v>351</v>
      </c>
      <c r="E32" s="3596" t="s">
        <v>352</v>
      </c>
      <c r="F32" s="342"/>
      <c r="G32" s="3595"/>
      <c r="J32" s="3572">
        <v>0</v>
      </c>
    </row>
    <row customHeight="1" ht="24">
      <c r="A33" s="3450" t="str">
        <f>IF(TEMPLATE_SPHERE="HEAT","6","5")</f>
        <v>5</v>
      </c>
      <c r="B33" s="3576"/>
      <c r="C33" s="3450"/>
      <c r="D33" s="3589" t="str">
        <f>A33</f>
        <v>5</v>
      </c>
      <c r="E33" s="359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25" t="s">
        <v>321</v>
      </c>
      <c r="G33" s="3585"/>
      <c r="H33" s="3583"/>
      <c r="J33" s="3571">
        <v>23</v>
      </c>
    </row>
    <row customHeight="1" ht="23.25">
      <c r="A34" s="3450"/>
      <c r="B34" s="3576"/>
      <c r="C34" s="3450"/>
      <c r="D34" s="3589" t="str">
        <f>D33&amp;".1"</f>
        <v>5.1</v>
      </c>
      <c r="E34" s="3586" t="str">
        <f>"фамилия"&amp;IF(TEMPLATE_SPHERE&lt;&gt;"HEAT"," руководителя","")</f>
        <v>фамилия руководителя</v>
      </c>
      <c r="F34" s="326"/>
      <c r="G34" s="358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583"/>
      <c r="J34" s="3571">
        <v>22</v>
      </c>
    </row>
    <row customHeight="1" ht="23.25">
      <c r="A35" s="3450"/>
      <c r="B35" s="3576"/>
      <c r="C35" s="3450"/>
      <c r="D35" s="3589" t="str">
        <f>D33&amp;".2"</f>
        <v>5.2</v>
      </c>
      <c r="E35" s="3586" t="str">
        <f>"имя"&amp;IF(TEMPLATE_SPHERE&lt;&gt;"HEAT"," руководителя","")</f>
        <v>имя руководителя</v>
      </c>
      <c r="F35" s="326"/>
      <c r="G35" s="358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583"/>
      <c r="J35" s="3571">
        <v>22</v>
      </c>
    </row>
    <row customHeight="1" ht="24">
      <c r="A36" s="3450"/>
      <c r="B36" s="3576"/>
      <c r="C36" s="3450"/>
      <c r="D36" s="3589" t="str">
        <f>D33&amp;".3"</f>
        <v>5.3</v>
      </c>
      <c r="E36" s="3586" t="str">
        <f>"отчество"&amp;IF(TEMPLATE_SPHERE&lt;&gt;"HEAT"," руководителя","")</f>
        <v>отчество руководителя</v>
      </c>
      <c r="F36" s="344"/>
      <c r="G36" s="358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583"/>
      <c r="J36" s="3571">
        <v>23</v>
      </c>
    </row>
    <row customHeight="1" ht="35.699999999999996">
      <c r="A37" s="3450"/>
      <c r="B37" s="3576"/>
      <c r="C37" s="3450"/>
      <c r="D37" s="3589">
        <f>D33+1</f>
        <v>6</v>
      </c>
      <c r="E37" s="359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26"/>
      <c r="G37" s="3584" t="s">
        <v>353</v>
      </c>
      <c r="H37" s="3583"/>
      <c r="J37" s="3571">
        <v>34</v>
      </c>
    </row>
    <row customHeight="1" ht="35.699999999999996">
      <c r="A38" s="3450"/>
      <c r="B38" s="3576"/>
      <c r="C38" s="3450"/>
      <c r="D38" s="3589">
        <f>D37+1</f>
        <v>7</v>
      </c>
      <c r="E38" s="359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26"/>
      <c r="G38" s="3584" t="s">
        <v>353</v>
      </c>
      <c r="H38" s="3583"/>
      <c r="J38" s="3571">
        <v>34</v>
      </c>
    </row>
    <row customHeight="1" ht="23.25">
      <c r="A39" s="3450"/>
      <c r="B39" s="3576"/>
      <c r="C39" s="3450"/>
      <c r="D39" s="3589">
        <f>D38+1</f>
        <v>8</v>
      </c>
      <c r="E39" s="359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25" t="s">
        <v>321</v>
      </c>
      <c r="G39" s="36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583"/>
      <c r="J39" s="3571">
        <v>22</v>
      </c>
    </row>
    <row customHeight="1" ht="22.5" hidden="1">
      <c r="A40" s="3450"/>
      <c r="B40" s="3576"/>
      <c r="C40" s="3450"/>
      <c r="D40" s="3589" t="str">
        <f>D39&amp;".0"</f>
        <v>8.0</v>
      </c>
      <c r="E40" s="347"/>
      <c r="F40" s="332"/>
      <c r="G40" s="3601"/>
      <c r="H40" s="3583"/>
      <c r="J40" s="3571">
        <v>0</v>
      </c>
    </row>
    <row customHeight="1" ht="23.25">
      <c r="A41" s="3450"/>
      <c r="B41" s="3450"/>
      <c r="C41" s="3602"/>
      <c r="D41" s="3589" t="str">
        <f>D39&amp;".1"</f>
        <v>8.1</v>
      </c>
      <c r="E41" s="350"/>
      <c r="F41" s="351"/>
      <c r="G41" s="3601"/>
      <c r="H41" s="3583"/>
      <c r="J41" s="3571">
        <v>22</v>
      </c>
    </row>
    <row customHeight="1" ht="15.75">
      <c r="A42" s="3450"/>
      <c r="B42" s="3576"/>
      <c r="C42" s="3450"/>
      <c r="D42" s="3592"/>
      <c r="E42" s="167" t="s">
        <v>354</v>
      </c>
      <c r="F42" s="3594"/>
      <c r="G42" s="3603"/>
      <c r="H42" s="3604"/>
      <c r="J42" s="3571">
        <v>15</v>
      </c>
    </row>
    <row customHeight="1" ht="27.299999999999997">
      <c r="A43" s="3450"/>
      <c r="B43" s="3576"/>
      <c r="C43" s="3450"/>
      <c r="D43" s="3589">
        <f>D39+1</f>
        <v>9</v>
      </c>
      <c r="E43" s="359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54"/>
      <c r="G43" s="358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583"/>
      <c r="J43" s="3571">
        <v>26</v>
      </c>
    </row>
    <row customHeight="1" ht="23.25">
      <c r="A44" s="3450"/>
      <c r="B44" s="3576"/>
      <c r="C44" s="3450"/>
      <c r="D44" s="3589">
        <f>D43+1</f>
        <v>10</v>
      </c>
      <c r="E44" s="359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55"/>
      <c r="G44" s="3585" t="s">
        <v>355</v>
      </c>
      <c r="H44" s="3583"/>
      <c r="J44" s="3571">
        <v>22</v>
      </c>
    </row>
    <row customHeight="1" ht="23.25">
      <c r="A45" s="3450"/>
      <c r="B45" s="3576"/>
      <c r="C45" s="3450"/>
      <c r="D45" s="3589">
        <f>D44+1</f>
        <v>11</v>
      </c>
      <c r="E45" s="3598" t="s">
        <v>356</v>
      </c>
      <c r="F45" s="3525" t="s">
        <v>321</v>
      </c>
      <c r="G45" s="3599" t="str">
        <f>IF(TEMPLATE_SPHERE="TKO","Указывается режим работы организации.","")</f>
        <v/>
      </c>
      <c r="H45" s="3583"/>
      <c r="J45" s="3571">
        <v>22</v>
      </c>
    </row>
    <row customHeight="1" ht="24">
      <c r="A46" s="3450"/>
      <c r="B46" s="3576"/>
      <c r="C46" s="3450"/>
      <c r="D46" s="3589" t="str">
        <f>D45&amp;".1"</f>
        <v>11.1</v>
      </c>
      <c r="E46" s="3586" t="str">
        <f>"режим работы регулируемой организации"&amp;IF(TEMPLATE_SPHERE="HEAT",", ЕТО, ТО","")</f>
        <v>режим работы регулируемой организации</v>
      </c>
      <c r="F46" s="356"/>
      <c r="G46" s="3599" t="s">
        <v>357</v>
      </c>
      <c r="H46" s="3583"/>
      <c r="J46" s="3571">
        <v>23</v>
      </c>
    </row>
    <row customHeight="1" ht="24">
      <c r="A47" s="328"/>
      <c r="B47" s="3576"/>
      <c r="C47" s="3591"/>
      <c r="D47" s="3589" t="str">
        <f>D45&amp;".2"</f>
        <v>11.2</v>
      </c>
      <c r="E47" s="3586" t="s">
        <v>358</v>
      </c>
      <c r="F47" s="356"/>
      <c r="G47" s="3599" t="s">
        <v>359</v>
      </c>
      <c r="H47" s="3583"/>
      <c r="J47" s="3571">
        <v>23</v>
      </c>
    </row>
    <row customHeight="1" ht="24">
      <c r="A48" s="328"/>
      <c r="B48" s="3576"/>
      <c r="C48" s="3591"/>
      <c r="D48" s="3589" t="str">
        <f>D45&amp;".3"</f>
        <v>11.3</v>
      </c>
      <c r="E48" s="3586" t="s">
        <v>360</v>
      </c>
      <c r="F48" s="356"/>
      <c r="G48" s="3599" t="s">
        <v>361</v>
      </c>
      <c r="H48" s="3583"/>
      <c r="J48" s="3571">
        <v>23</v>
      </c>
    </row>
    <row customHeight="1" ht="24">
      <c r="A49" s="328"/>
      <c r="B49" s="3576"/>
      <c r="C49" s="3591"/>
      <c r="D49" s="3589" t="str">
        <f>IF(TEMPLATE_SPHERE="TKO",D45&amp;".0",D45&amp;".4")</f>
        <v>11.4</v>
      </c>
      <c r="E49" s="3605" t="s">
        <v>362</v>
      </c>
      <c r="F49" s="358"/>
      <c r="G49" s="3606" t="s">
        <v>363</v>
      </c>
      <c r="H49" s="3583"/>
      <c r="J49" s="3571">
        <v>23</v>
      </c>
    </row>
    <row customHeight="1" ht="24">
      <c r="A50" s="3450"/>
      <c r="B50" s="3576"/>
      <c r="C50" s="3450"/>
      <c r="D50" s="3592"/>
      <c r="E50" s="167" t="s">
        <v>364</v>
      </c>
      <c r="F50" s="3593"/>
      <c r="G50" s="3606" t="s">
        <v>365</v>
      </c>
      <c r="H50" s="3604"/>
      <c r="J50" s="3571">
        <v>23</v>
      </c>
    </row>
    <row customHeight="1" ht="24">
      <c r="A51" s="328"/>
      <c r="B51" s="3576"/>
      <c r="C51" s="3591"/>
      <c r="D51" s="3589">
        <f>D45+1</f>
        <v>12</v>
      </c>
      <c r="E51" s="3607" t="s">
        <v>366</v>
      </c>
      <c r="F51" s="356"/>
      <c r="G51" s="3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583"/>
      <c r="J51" s="3571">
        <v>23</v>
      </c>
    </row>
    <row customHeight="1" ht="11.549999999999999">
      <c r="A52" s="3450"/>
      <c r="B52" s="3576"/>
      <c r="C52" s="3450"/>
      <c r="J52" s="3571">
        <v>11</v>
      </c>
    </row>
    <row customHeight="1" ht="31.5">
      <c r="D53" s="36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610">
        <v>30</v>
      </c>
    </row>
    <row customHeight="1" ht="42">
      <c r="A54" s="3450"/>
      <c r="B54" s="3576"/>
      <c r="D54" s="36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J54" s="3610">
        <v>40</v>
      </c>
    </row>
    <row customHeight="1" ht="11.549999999999999">
      <c r="D55" s="3611"/>
      <c r="E55" s="3612"/>
      <c r="F55" s="3612"/>
      <c r="G55" s="3612"/>
      <c r="J55" s="3571">
        <v>11</v>
      </c>
    </row>
    <row customHeight="1" ht="28.5">
      <c r="D56" s="3613"/>
      <c r="E56" s="3611"/>
      <c r="F56" s="3614"/>
      <c r="G56" s="3614"/>
      <c r="J56" s="3571">
        <v>27</v>
      </c>
    </row>
    <row customHeight="1" ht="11.549999999999999">
      <c r="D57" s="3611"/>
      <c r="E57" s="3611"/>
      <c r="F57" s="3612"/>
      <c r="G57" s="3612"/>
      <c r="J57" s="3571">
        <v>11</v>
      </c>
    </row>
    <row customHeight="1" ht="40.949999999999996">
      <c r="D58" s="3615"/>
      <c r="E58" s="3616"/>
      <c r="F58" s="3616"/>
      <c r="G58" s="3616"/>
      <c r="J58" s="3571">
        <v>39</v>
      </c>
    </row>
    <row customHeight="1" ht="28.5">
      <c r="D59" s="3615"/>
      <c r="E59" s="3616"/>
      <c r="F59" s="3616"/>
      <c r="G59" s="3616"/>
      <c r="J59" s="3571">
        <v>27</v>
      </c>
    </row>
    <row customHeight="1" ht="11.25" hidden="1">
      <c r="A60" s="3570" t="s">
        <v>80</v>
      </c>
      <c r="B60" s="3572">
        <v>0</v>
      </c>
      <c r="C60" s="3571">
        <v>3</v>
      </c>
      <c r="D60" s="3617">
        <v>6</v>
      </c>
      <c r="E60" s="3571">
        <v>52</v>
      </c>
      <c r="F60" s="3571">
        <v>48</v>
      </c>
      <c r="G60" s="3571">
        <v>121</v>
      </c>
      <c r="H60" s="3571">
        <v>8</v>
      </c>
      <c r="I60" s="3571">
        <v>64</v>
      </c>
      <c r="J60" s="357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E6C57-D1B7-589F-8EA1-C802F0EF0C7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2" style="7348" width="9.140625" hidden="1" customWidth="1"/>
    <col min="3" max="3" style="7348" width="3.00390625" customWidth="1"/>
    <col min="4" max="4" style="7348" width="5.00390625" customWidth="1"/>
    <col min="5" max="5" style="7348" width="48.00390625" customWidth="1"/>
    <col min="6" max="6" style="7348" width="38.00390625" customWidth="1"/>
    <col min="7" max="7" style="7348" width="1.7109375" hidden="1" customWidth="1"/>
    <col min="8" max="11" style="7348" width="19.8515625" hidden="1" customWidth="1"/>
    <col min="12" max="12" style="7348" width="9.7109375" hidden="1" customWidth="1"/>
    <col min="13" max="18" style="7348" width="19.8515625" hidden="1" customWidth="1"/>
    <col min="19" max="19" style="7348" width="1.7109375" hidden="1" customWidth="1"/>
    <col min="20" max="22" style="7348" width="19.8515625" hidden="1" customWidth="1"/>
    <col min="23" max="23" style="7348" width="1.7109375" hidden="1" customWidth="1"/>
    <col min="24" max="26" style="7348" width="19.8515625" hidden="1" customWidth="1"/>
    <col min="27" max="27" style="7348" width="1.7109375" hidden="1" customWidth="1"/>
    <col min="28" max="29" style="7348" width="19.8515625" customWidth="1"/>
    <col min="30" max="30" style="7348" width="1.7109375" hidden="1" customWidth="1"/>
    <col min="31" max="33" style="7348" width="103.7109375" hidden="1" customWidth="1"/>
    <col min="34" max="34" style="7348" width="103.7109375" customWidth="1"/>
    <col min="35" max="35" style="7348" width="3.00390625" customWidth="1"/>
    <col min="36" max="38" style="7348" width="10.00390625" customWidth="1"/>
    <col min="39" max="39" style="7348" width="13.7109375" hidden="1" customWidth="1"/>
    <col min="40" max="40" style="7348" width="15.00390625" customWidth="1"/>
    <col min="41" max="41" style="7348" width="16.00390625" customWidth="1"/>
    <col min="42" max="45" style="7348" width="10.00390625" customWidth="1"/>
    <col min="46" max="46" style="7348" width="10.57421875" hidden="1"/>
  </cols>
  <sheetData>
    <row customHeight="1" ht="22.5" hidden="1">
      <c r="H1" s="3618" t="s">
        <v>367</v>
      </c>
      <c r="T1" s="3618" t="s">
        <v>368</v>
      </c>
      <c r="X1" s="3618" t="s">
        <v>369</v>
      </c>
      <c r="AB1" s="3618" t="s">
        <v>370</v>
      </c>
      <c r="AT1" s="3432" t="s">
        <v>14</v>
      </c>
    </row>
    <row customHeight="1" ht="14.25" hidden="1">
      <c r="AT2" s="3432">
        <v>0</v>
      </c>
    </row>
    <row customHeight="1" ht="5.25">
      <c r="C3" s="3619"/>
      <c r="D3" s="3620"/>
      <c r="E3" s="3620"/>
      <c r="F3" s="3620"/>
      <c r="G3" s="3620"/>
      <c r="H3" s="3620" t="s">
        <v>371</v>
      </c>
      <c r="I3" s="3620"/>
      <c r="J3" s="3620"/>
      <c r="K3" s="3620"/>
      <c r="L3" s="3620"/>
      <c r="M3" s="3620"/>
      <c r="N3" s="3620"/>
      <c r="O3" s="3620"/>
      <c r="P3" s="3620"/>
      <c r="Q3" s="3620"/>
      <c r="R3" s="3620"/>
      <c r="S3" s="3620"/>
      <c r="T3" s="3620"/>
      <c r="U3" s="3620"/>
      <c r="V3" s="3620"/>
      <c r="W3" s="3620"/>
      <c r="X3" s="3620"/>
      <c r="Y3" s="3620"/>
      <c r="Z3" s="3620"/>
      <c r="AA3" s="3620"/>
      <c r="AB3" s="3620"/>
      <c r="AC3" s="3620"/>
      <c r="AD3" s="3620"/>
      <c r="AE3" s="3620"/>
      <c r="AF3" s="3620"/>
      <c r="AG3" s="3620"/>
      <c r="AH3" s="3620"/>
      <c r="AT3" s="3621">
        <v>5</v>
      </c>
    </row>
    <row customHeight="1" ht="39.75">
      <c r="C4" s="3602"/>
      <c r="D4" s="3517" t="str">
        <f>ORG_VD_NAME_FORM</f>
        <v>Форма 1. Информация об организации, осуществляющей горячее водоснабжение (общая информация)</v>
      </c>
      <c r="E4" s="3518"/>
      <c r="F4" s="3518"/>
      <c r="G4" s="3518"/>
      <c r="H4" s="3518"/>
      <c r="I4" s="3518"/>
      <c r="J4" s="3518"/>
      <c r="K4" s="3518"/>
      <c r="L4" s="3518"/>
      <c r="M4" s="3518"/>
      <c r="N4" s="3518"/>
      <c r="O4" s="3518"/>
      <c r="P4" s="3518"/>
      <c r="Q4" s="3518"/>
      <c r="R4" s="3519"/>
      <c r="AT4" s="3432">
        <v>38</v>
      </c>
    </row>
    <row customHeight="1" ht="18">
      <c r="C5" s="3602"/>
      <c r="D5" s="3622" t="str">
        <f>IF(org=0,"Не определено",org)</f>
        <v>ООО "ТеплоЭлектроГенерирующая Компания"</v>
      </c>
      <c r="E5" s="3623"/>
      <c r="F5" s="3623"/>
      <c r="G5" s="3623"/>
      <c r="H5" s="3623"/>
      <c r="I5" s="3623"/>
      <c r="J5" s="3623"/>
      <c r="K5" s="3623"/>
      <c r="L5" s="3623"/>
      <c r="M5" s="3623"/>
      <c r="N5" s="3623"/>
      <c r="O5" s="3623"/>
      <c r="P5" s="3623"/>
      <c r="Q5" s="3623"/>
      <c r="R5" s="3624"/>
      <c r="AT5" s="3432">
        <v>17</v>
      </c>
    </row>
    <row customHeight="1" ht="11.549999999999999">
      <c r="C6" s="3625"/>
      <c r="R6" s="3575"/>
      <c r="S6" s="3575"/>
      <c r="AT6" s="3434">
        <v>11</v>
      </c>
    </row>
    <row customHeight="1" ht="14.699999999999998">
      <c r="C7" s="3602"/>
      <c r="D7" s="3626" t="s">
        <v>315</v>
      </c>
      <c r="E7" s="3627"/>
      <c r="F7" s="3627"/>
      <c r="G7" s="3627"/>
      <c r="H7" s="3627"/>
      <c r="I7" s="3627"/>
      <c r="J7" s="3627"/>
      <c r="K7" s="3627"/>
      <c r="L7" s="3627"/>
      <c r="M7" s="3627"/>
      <c r="N7" s="3627"/>
      <c r="O7" s="3627"/>
      <c r="P7" s="3627"/>
      <c r="Q7" s="3627"/>
      <c r="R7" s="3627"/>
      <c r="S7" s="3627"/>
      <c r="T7" s="3627"/>
      <c r="U7" s="3627"/>
      <c r="V7" s="3627"/>
      <c r="W7" s="3627"/>
      <c r="X7" s="3627"/>
      <c r="Y7" s="3627"/>
      <c r="Z7" s="3627"/>
      <c r="AA7" s="3627"/>
      <c r="AB7" s="3627"/>
      <c r="AC7" s="3627"/>
      <c r="AD7" s="3628"/>
      <c r="AE7" s="3525" t="s">
        <v>316</v>
      </c>
      <c r="AF7" s="3525" t="s">
        <v>316</v>
      </c>
      <c r="AG7" s="3525" t="s">
        <v>316</v>
      </c>
      <c r="AH7" s="3525" t="s">
        <v>316</v>
      </c>
      <c r="AT7" s="3432">
        <v>14</v>
      </c>
    </row>
    <row customHeight="1" ht="27.299999999999997">
      <c r="C8" s="3602"/>
      <c r="D8" s="3480" t="s">
        <v>86</v>
      </c>
      <c r="E8" s="3525" t="str">
        <f>"Наименование "&amp;IF(TEMPLATE_SPHERE&lt;&gt;"HEAT","централизованной ","")&amp;"системы "&amp;TEMPLATE_SPHERE_RUS</f>
        <v>Наименование централизованной системы горячего водоснабжения</v>
      </c>
      <c r="F8" s="3525" t="str">
        <f>IF(TEMPLATE_SPHERE&lt;&gt;"HEAT","Регулируемый вид деятельности","Вид регулируемой деятельности")</f>
        <v>Регулируемый вид деятельности</v>
      </c>
      <c r="G8" s="3629"/>
      <c r="H8" s="3629" t="s">
        <v>372</v>
      </c>
      <c r="I8" s="3630" t="s">
        <v>373</v>
      </c>
      <c r="J8" s="3525" t="s">
        <v>374</v>
      </c>
      <c r="K8" s="3525"/>
      <c r="L8" s="3525"/>
      <c r="M8" s="3626"/>
      <c r="N8" s="3525" t="s">
        <v>375</v>
      </c>
      <c r="O8" s="3525"/>
      <c r="P8" s="3525" t="s">
        <v>376</v>
      </c>
      <c r="Q8" s="3525"/>
      <c r="R8" s="3631" t="s">
        <v>377</v>
      </c>
      <c r="S8" s="3631"/>
      <c r="T8" s="3629" t="s">
        <v>378</v>
      </c>
      <c r="U8" s="3629" t="s">
        <v>379</v>
      </c>
      <c r="V8" s="3629" t="s">
        <v>380</v>
      </c>
      <c r="W8" s="3629"/>
      <c r="X8" s="3629" t="s">
        <v>381</v>
      </c>
      <c r="Y8" s="3629" t="s">
        <v>382</v>
      </c>
      <c r="Z8" s="3629" t="s">
        <v>383</v>
      </c>
      <c r="AA8" s="3629"/>
      <c r="AB8" s="3629" t="s">
        <v>384</v>
      </c>
      <c r="AC8" s="3629" t="s">
        <v>377</v>
      </c>
      <c r="AD8" s="3629"/>
      <c r="AE8" s="3525"/>
      <c r="AF8" s="3525"/>
      <c r="AG8" s="3525"/>
      <c r="AH8" s="3525"/>
      <c r="AT8" s="3432">
        <v>26</v>
      </c>
    </row>
    <row customHeight="1" ht="46.199999999999996">
      <c r="C9" s="3602"/>
      <c r="D9" s="3480"/>
      <c r="E9" s="3525"/>
      <c r="F9" s="3525"/>
      <c r="G9" s="3632"/>
      <c r="H9" s="3632"/>
      <c r="I9" s="3633"/>
      <c r="J9" s="3525" t="s">
        <v>385</v>
      </c>
      <c r="K9" s="3525" t="s">
        <v>386</v>
      </c>
      <c r="L9" s="3525" t="s">
        <v>387</v>
      </c>
      <c r="M9" s="3626" t="s">
        <v>388</v>
      </c>
      <c r="N9" s="3525" t="s">
        <v>389</v>
      </c>
      <c r="O9" s="3525" t="s">
        <v>388</v>
      </c>
      <c r="P9" s="3525" t="s">
        <v>390</v>
      </c>
      <c r="Q9" s="3525" t="s">
        <v>388</v>
      </c>
      <c r="R9" s="3634"/>
      <c r="S9" s="3634"/>
      <c r="T9" s="3632"/>
      <c r="U9" s="3632"/>
      <c r="V9" s="3632"/>
      <c r="W9" s="3632"/>
      <c r="X9" s="3632"/>
      <c r="Y9" s="3632"/>
      <c r="Z9" s="3632"/>
      <c r="AA9" s="3632"/>
      <c r="AB9" s="3632"/>
      <c r="AC9" s="3632"/>
      <c r="AD9" s="3632"/>
      <c r="AE9" s="3525"/>
      <c r="AF9" s="3525"/>
      <c r="AG9" s="3525"/>
      <c r="AH9" s="3525"/>
      <c r="AT9" s="3432">
        <v>44</v>
      </c>
    </row>
    <row customHeight="1" ht="12" hidden="1">
      <c r="C10" s="3635"/>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T10" s="3432">
        <v>0</v>
      </c>
    </row>
    <row customHeight="1" ht="11.25" hidden="1">
      <c r="C11" s="3636"/>
      <c r="D11" s="391" t="s">
        <v>391</v>
      </c>
      <c r="E11" s="391"/>
      <c r="F11" s="391"/>
      <c r="G11" s="391"/>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3"/>
      <c r="AF11" s="393"/>
      <c r="AG11" s="393"/>
      <c r="AH11" s="393"/>
      <c r="AT11" s="3637">
        <v>0</v>
      </c>
    </row>
    <row customHeight="1" ht="14.699999999999998">
      <c r="C12" s="3602"/>
      <c r="D12" s="395" t="s">
        <v>107</v>
      </c>
      <c r="E12" s="344" t="s">
        <v>22</v>
      </c>
      <c r="F12" s="3638"/>
      <c r="G12" s="397"/>
      <c r="H12" s="398"/>
      <c r="I12" s="398"/>
      <c r="J12" s="399"/>
      <c r="K12" s="400"/>
      <c r="L12" s="3639"/>
      <c r="M12" s="400"/>
      <c r="N12" s="399"/>
      <c r="O12" s="400"/>
      <c r="P12" s="399"/>
      <c r="Q12" s="400"/>
      <c r="R12" s="399"/>
      <c r="S12" s="402"/>
      <c r="T12" s="398"/>
      <c r="U12" s="399"/>
      <c r="V12" s="399"/>
      <c r="W12" s="3632"/>
      <c r="X12" s="398"/>
      <c r="Y12" s="399"/>
      <c r="Z12" s="399"/>
      <c r="AA12" s="3632"/>
      <c r="AB12" s="398"/>
      <c r="AC12" s="399"/>
      <c r="AD12" s="3632"/>
      <c r="AE12" s="3640" t="s">
        <v>392</v>
      </c>
      <c r="AF12" s="3640" t="s">
        <v>393</v>
      </c>
      <c r="AG12" s="3640" t="s">
        <v>394</v>
      </c>
      <c r="AH12" s="3640" t="s">
        <v>395</v>
      </c>
      <c r="AP12" s="3479" t="s">
        <v>396</v>
      </c>
      <c r="AQ12" s="3479" t="s">
        <v>396</v>
      </c>
      <c r="AT12" s="3432">
        <v>14</v>
      </c>
    </row>
    <row customHeight="1" ht="18">
      <c r="C13" s="3602"/>
      <c r="D13" s="404"/>
      <c r="E13" s="3641" t="str">
        <f>IF(TITLE_DIFFERENTIATION_TYPE="нет","","Добавить систему")</f>
        <v/>
      </c>
      <c r="F13" s="3641" t="str">
        <f>IF(TITLE_DIFFERENTIATION_TYPE="нет","Добавить вид деятельности","")</f>
        <v>Добавить вид деятельности</v>
      </c>
      <c r="G13" s="406"/>
      <c r="H13" s="407"/>
      <c r="I13" s="407"/>
      <c r="J13" s="407"/>
      <c r="K13" s="407"/>
      <c r="L13" s="407"/>
      <c r="M13" s="407"/>
      <c r="N13" s="407"/>
      <c r="O13" s="407"/>
      <c r="P13" s="407"/>
      <c r="Q13" s="407"/>
      <c r="R13" s="407"/>
      <c r="S13" s="407"/>
      <c r="T13" s="407"/>
      <c r="U13" s="407"/>
      <c r="V13" s="407"/>
      <c r="W13" s="407"/>
      <c r="X13" s="407"/>
      <c r="Y13" s="407"/>
      <c r="Z13" s="407"/>
      <c r="AA13" s="407"/>
      <c r="AB13" s="407"/>
      <c r="AC13" s="407"/>
      <c r="AD13" s="408"/>
      <c r="AE13" s="3642"/>
      <c r="AF13" s="3642"/>
      <c r="AG13" s="3642"/>
      <c r="AH13" s="3642"/>
      <c r="AT13" s="3432">
        <v>17</v>
      </c>
    </row>
    <row customHeight="1" ht="14.699999999999998">
      <c r="AT14" s="3432">
        <v>14</v>
      </c>
    </row>
    <row customHeight="1" ht="14.699999999999998">
      <c r="AT15" s="3432">
        <v>14</v>
      </c>
    </row>
    <row customHeight="1" ht="14.699999999999998">
      <c r="AT16" s="3432">
        <v>14</v>
      </c>
    </row>
    <row customHeight="1" ht="14.699999999999998">
      <c r="AT17" s="3432">
        <v>14</v>
      </c>
    </row>
    <row customHeight="1" ht="22.5" hidden="1">
      <c r="A18" s="3430" t="s">
        <v>80</v>
      </c>
      <c r="B18" s="3432">
        <v>0</v>
      </c>
      <c r="C18" s="3487">
        <v>3</v>
      </c>
      <c r="D18" s="3432">
        <v>5</v>
      </c>
      <c r="E18" s="3432">
        <v>48</v>
      </c>
      <c r="F18" s="3432">
        <v>38</v>
      </c>
      <c r="G18" s="3432">
        <v>0</v>
      </c>
      <c r="H18" s="3432">
        <v>0</v>
      </c>
      <c r="I18" s="3432">
        <v>0</v>
      </c>
      <c r="J18" s="3432">
        <v>0</v>
      </c>
      <c r="K18" s="3432">
        <v>0</v>
      </c>
      <c r="L18" s="3432">
        <v>0</v>
      </c>
      <c r="M18" s="3432">
        <v>0</v>
      </c>
      <c r="N18" s="3432">
        <v>0</v>
      </c>
      <c r="O18" s="3432">
        <v>0</v>
      </c>
      <c r="P18" s="3432">
        <v>0</v>
      </c>
      <c r="Q18" s="3432">
        <v>0</v>
      </c>
      <c r="R18" s="3432">
        <v>0</v>
      </c>
      <c r="S18" s="3432">
        <v>0</v>
      </c>
      <c r="T18" s="3432">
        <v>0</v>
      </c>
      <c r="U18" s="3432">
        <v>0</v>
      </c>
      <c r="V18" s="3432">
        <v>0</v>
      </c>
      <c r="W18" s="3432">
        <v>0</v>
      </c>
      <c r="X18" s="3432">
        <v>0</v>
      </c>
      <c r="Y18" s="3432">
        <v>0</v>
      </c>
      <c r="Z18" s="3432">
        <v>0</v>
      </c>
      <c r="AA18" s="3432">
        <v>0</v>
      </c>
      <c r="AB18" s="3432">
        <v>0</v>
      </c>
      <c r="AC18" s="3432">
        <v>0</v>
      </c>
      <c r="AD18" s="3432">
        <v>0</v>
      </c>
      <c r="AE18" s="3432">
        <v>0</v>
      </c>
      <c r="AF18" s="3432">
        <v>0</v>
      </c>
      <c r="AG18" s="3432">
        <v>0</v>
      </c>
      <c r="AH18" s="3432">
        <v>0</v>
      </c>
      <c r="AI18" s="3475">
        <v>3</v>
      </c>
      <c r="AJ18" s="3473">
        <v>10</v>
      </c>
      <c r="AK18" s="3473">
        <v>10</v>
      </c>
      <c r="AL18" s="3473">
        <v>10</v>
      </c>
      <c r="AM18" s="3473">
        <v>0</v>
      </c>
      <c r="AN18" s="3473">
        <v>15</v>
      </c>
      <c r="AO18" s="3473">
        <v>16</v>
      </c>
      <c r="AP18" s="3473">
        <v>10</v>
      </c>
      <c r="AQ18" s="3473">
        <v>10</v>
      </c>
      <c r="AR18" s="3473">
        <v>10</v>
      </c>
      <c r="AS18" s="3473">
        <v>10</v>
      </c>
      <c r="AT18" s="343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BDF9E-AFD7-D52B-12D8-2AF0F5825CA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2" style="7348" width="9.140625" hidden="1" customWidth="1"/>
    <col min="3" max="3" style="7348" width="3.00390625" customWidth="1"/>
    <col min="4" max="4" style="7348" width="5.00390625" customWidth="1"/>
    <col min="5" max="5" style="7348" width="38.00390625" customWidth="1"/>
    <col min="6" max="7" style="7348" width="3.00390625" customWidth="1"/>
    <col min="8" max="8" style="7348" width="38.00390625" customWidth="1"/>
    <col min="9" max="9" style="7348" width="35.00390625" customWidth="1"/>
    <col min="10" max="10" style="7348" width="103.00390625" customWidth="1"/>
    <col min="11" max="11" style="7348" width="3.00390625" customWidth="1"/>
    <col min="12" max="14" style="7348" width="10.00390625" customWidth="1"/>
    <col min="15" max="15" style="7348" width="13.00390625" customWidth="1"/>
    <col min="16" max="16" style="7348" width="15.00390625" customWidth="1"/>
    <col min="17" max="17" style="7348" width="16.00390625" customWidth="1"/>
    <col min="18" max="21" style="7348" width="10.00390625" customWidth="1"/>
    <col min="22" max="22" style="7348" width="10.57421875" hidden="1"/>
  </cols>
  <sheetData>
    <row customHeight="1" ht="22.5" hidden="1">
      <c r="H1" s="3618" t="s">
        <v>367</v>
      </c>
      <c r="V1" s="3432" t="s">
        <v>14</v>
      </c>
    </row>
    <row customHeight="1" ht="14.25" hidden="1">
      <c r="C2" s="3602"/>
      <c r="D2" s="410" t="s">
        <v>107</v>
      </c>
      <c r="E2" s="3643"/>
      <c r="F2" s="3644"/>
      <c r="G2" s="204" t="s">
        <v>107</v>
      </c>
      <c r="H2" s="413"/>
      <c r="I2" s="414"/>
      <c r="O2" s="3473" t="s">
        <v>397</v>
      </c>
      <c r="R2" s="3479" t="s">
        <v>396</v>
      </c>
      <c r="S2" s="3479" t="s">
        <v>396</v>
      </c>
      <c r="V2" s="3432">
        <v>0</v>
      </c>
    </row>
    <row customHeight="1" ht="14.25" hidden="1">
      <c r="C3" s="3602"/>
      <c r="D3" s="415"/>
      <c r="E3" s="3645"/>
      <c r="F3" s="404"/>
      <c r="G3" s="3641"/>
      <c r="H3" s="3641" t="s">
        <v>398</v>
      </c>
      <c r="I3" s="406"/>
      <c r="V3" s="3432">
        <v>0</v>
      </c>
    </row>
    <row customHeight="1" ht="14.25" hidden="1">
      <c r="V4" s="3432">
        <v>0</v>
      </c>
    </row>
    <row customHeight="1" ht="5.25">
      <c r="C5" s="3619"/>
      <c r="D5" s="3620"/>
      <c r="E5" s="3620"/>
      <c r="F5" s="3620"/>
      <c r="G5" s="3620"/>
      <c r="H5" s="3620" t="s">
        <v>371</v>
      </c>
      <c r="I5" s="3620"/>
      <c r="J5" s="3620"/>
      <c r="V5" s="3621">
        <v>5</v>
      </c>
    </row>
    <row customHeight="1" ht="29.25">
      <c r="C6" s="3602"/>
      <c r="D6" s="3646" t="s">
        <v>399</v>
      </c>
      <c r="E6" s="3646"/>
      <c r="F6" s="3646"/>
      <c r="G6" s="3646"/>
      <c r="H6" s="3646"/>
      <c r="I6" s="3646"/>
      <c r="V6" s="3432">
        <v>28</v>
      </c>
    </row>
    <row customHeight="1" ht="18">
      <c r="C7" s="3602"/>
      <c r="D7" s="3554" t="str">
        <f>IF(org=0,"Не определено",org)</f>
        <v>ООО "ТеплоЭлектроГенерирующая Компания"</v>
      </c>
      <c r="E7" s="3554"/>
      <c r="F7" s="3554"/>
      <c r="G7" s="3554"/>
      <c r="H7" s="3554"/>
      <c r="I7" s="3554"/>
      <c r="V7" s="3432">
        <v>17</v>
      </c>
    </row>
    <row customHeight="1" ht="5.25">
      <c r="C8" s="3625"/>
      <c r="V8" s="3434">
        <v>5</v>
      </c>
    </row>
    <row customHeight="1" ht="5.25">
      <c r="C9" s="3625"/>
      <c r="V9" s="3434">
        <v>5</v>
      </c>
    </row>
    <row customHeight="1" ht="14.699999999999998">
      <c r="C10" s="3602"/>
      <c r="D10" s="3626" t="s">
        <v>315</v>
      </c>
      <c r="E10" s="3627"/>
      <c r="F10" s="3627"/>
      <c r="G10" s="3627"/>
      <c r="H10" s="3627"/>
      <c r="I10" s="3627"/>
      <c r="J10" s="3525" t="s">
        <v>316</v>
      </c>
      <c r="V10" s="3432">
        <v>14</v>
      </c>
    </row>
    <row customHeight="1" ht="27.299999999999997">
      <c r="C11" s="3602"/>
      <c r="D11" s="3480" t="s">
        <v>86</v>
      </c>
      <c r="E11" s="3525" t="s">
        <v>103</v>
      </c>
      <c r="F11" s="3555" t="s">
        <v>86</v>
      </c>
      <c r="G11" s="3556"/>
      <c r="H11" s="3558" t="s">
        <v>400</v>
      </c>
      <c r="I11" s="3558" t="s">
        <v>401</v>
      </c>
      <c r="J11" s="3525"/>
      <c r="V11" s="3432">
        <v>26</v>
      </c>
    </row>
    <row customHeight="1" ht="14.699999999999998">
      <c r="C12" s="3602"/>
      <c r="D12" s="3480"/>
      <c r="E12" s="3525"/>
      <c r="F12" s="3561"/>
      <c r="G12" s="3562"/>
      <c r="H12" s="3483"/>
      <c r="I12" s="3483"/>
      <c r="J12" s="3525"/>
      <c r="V12" s="3432">
        <v>14</v>
      </c>
    </row>
    <row customHeight="1" ht="11.25" hidden="1">
      <c r="C13" s="3636"/>
      <c r="D13" s="391" t="s">
        <v>391</v>
      </c>
      <c r="E13" s="391"/>
      <c r="F13" s="391"/>
      <c r="G13" s="391"/>
      <c r="H13" s="392"/>
      <c r="I13" s="392"/>
      <c r="J13" s="393"/>
      <c r="V13" s="3637">
        <v>0</v>
      </c>
    </row>
    <row customHeight="1" ht="14.699999999999998">
      <c r="C14" s="3602"/>
      <c r="D14" s="410" t="s">
        <v>107</v>
      </c>
      <c r="E14" s="3643"/>
      <c r="F14" s="3644"/>
      <c r="G14" s="204" t="s">
        <v>107</v>
      </c>
      <c r="H14" s="413"/>
      <c r="I14" s="414"/>
      <c r="J14" s="3546" t="s">
        <v>402</v>
      </c>
      <c r="R14" s="3479" t="s">
        <v>396</v>
      </c>
      <c r="S14" s="3479" t="s">
        <v>396</v>
      </c>
      <c r="V14" s="3432">
        <v>14</v>
      </c>
    </row>
    <row customHeight="1" ht="14.699999999999998">
      <c r="C15" s="3602"/>
      <c r="D15" s="415"/>
      <c r="E15" s="3645"/>
      <c r="F15" s="404"/>
      <c r="G15" s="3641"/>
      <c r="H15" s="3641" t="s">
        <v>398</v>
      </c>
      <c r="I15" s="406"/>
      <c r="J15" s="3548"/>
      <c r="V15" s="3432">
        <v>14</v>
      </c>
    </row>
    <row customHeight="1" ht="14.699999999999998">
      <c r="C16" s="3602"/>
      <c r="D16" s="404"/>
      <c r="E16" s="3641" t="s">
        <v>139</v>
      </c>
      <c r="F16" s="406"/>
      <c r="G16" s="406"/>
      <c r="H16" s="407"/>
      <c r="I16" s="407"/>
      <c r="J16" s="3550"/>
      <c r="V16" s="3432">
        <v>14</v>
      </c>
    </row>
    <row customHeight="1" ht="14.699999999999998">
      <c r="V17" s="3432">
        <v>14</v>
      </c>
    </row>
    <row customHeight="1" ht="22.5" hidden="1">
      <c r="A18" s="3430" t="s">
        <v>80</v>
      </c>
      <c r="B18" s="3432">
        <v>0</v>
      </c>
      <c r="C18" s="3487">
        <v>3</v>
      </c>
      <c r="D18" s="3432">
        <v>5</v>
      </c>
      <c r="E18" s="3432">
        <v>38</v>
      </c>
      <c r="F18" s="3432">
        <v>3</v>
      </c>
      <c r="G18" s="3432">
        <v>3</v>
      </c>
      <c r="H18" s="3432">
        <v>38</v>
      </c>
      <c r="I18" s="3432">
        <v>35</v>
      </c>
      <c r="J18" s="3432">
        <v>103</v>
      </c>
      <c r="K18" s="3475">
        <v>3</v>
      </c>
      <c r="L18" s="3473">
        <v>10</v>
      </c>
      <c r="M18" s="3473">
        <v>10</v>
      </c>
      <c r="N18" s="3473">
        <v>10</v>
      </c>
      <c r="O18" s="3473">
        <v>13</v>
      </c>
      <c r="P18" s="3473">
        <v>15</v>
      </c>
      <c r="Q18" s="3473">
        <v>16</v>
      </c>
      <c r="R18" s="3473">
        <v>10</v>
      </c>
      <c r="S18" s="3473">
        <v>10</v>
      </c>
      <c r="T18" s="3473">
        <v>10</v>
      </c>
      <c r="U18" s="3473">
        <v>10</v>
      </c>
      <c r="V18" s="343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094B9-CA02-D5C3-9428-0D7DABD1904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3" style="7348" width="9.140625" hidden="1" customWidth="1"/>
    <col min="4" max="4" style="7348" width="3.00390625" customWidth="1"/>
    <col min="5" max="5" style="7348" width="6.00390625" customWidth="1"/>
    <col min="6" max="6" style="7348" width="1.7109375" hidden="1" customWidth="1"/>
    <col min="7" max="8" style="7348" width="30.00390625" customWidth="1"/>
    <col min="9" max="9" style="7348" width="8.00390625" customWidth="1"/>
    <col min="10" max="10" style="7348" width="12.140625" customWidth="1"/>
    <col min="11" max="11" style="7348" width="46.00390625" customWidth="1"/>
    <col min="12" max="12" style="7348" width="100.00390625" customWidth="1"/>
    <col min="13" max="13" style="7348" width="7.00390625" customWidth="1"/>
    <col min="14" max="22" style="7348" width="10.00390625" customWidth="1"/>
    <col min="23" max="23" style="7348" width="10.57421875" hidden="1"/>
  </cols>
  <sheetData>
    <row customHeight="1" ht="5.25" hidden="1">
      <c r="G1" s="3473" t="s">
        <v>81</v>
      </c>
      <c r="H1" s="3473" t="s">
        <v>82</v>
      </c>
      <c r="I1" s="3473" t="s">
        <v>83</v>
      </c>
      <c r="P1" s="3473" t="s">
        <v>81</v>
      </c>
      <c r="Q1" s="3473" t="s">
        <v>82</v>
      </c>
      <c r="R1" s="3473" t="s">
        <v>83</v>
      </c>
      <c r="W1" s="3473" t="s">
        <v>14</v>
      </c>
    </row>
    <row customHeight="1" ht="5.25" hidden="1">
      <c r="W2" s="3473">
        <v>0</v>
      </c>
    </row>
    <row customHeight="1" ht="5.25">
      <c r="D3" s="3625"/>
      <c r="E3" s="3433"/>
      <c r="F3" s="3433"/>
      <c r="G3" s="3433"/>
      <c r="H3" s="3433"/>
      <c r="I3" s="3647"/>
      <c r="J3" s="3648"/>
      <c r="K3" s="3648"/>
      <c r="L3" s="3648"/>
      <c r="W3" s="3434">
        <v>5</v>
      </c>
    </row>
    <row customHeight="1" ht="23.25">
      <c r="D4" s="3602"/>
      <c r="E4" s="3490" t="s">
        <v>403</v>
      </c>
      <c r="F4" s="3490"/>
      <c r="G4" s="3491"/>
      <c r="H4" s="3491"/>
      <c r="I4" s="3492"/>
      <c r="W4" s="3432">
        <v>22</v>
      </c>
    </row>
    <row customHeight="1" ht="18">
      <c r="D5" s="3602"/>
      <c r="E5" s="3622" t="str">
        <f>IF(org=0,"Не определено",org)</f>
        <v>ООО "ТеплоЭлектроГенерирующая Компания"</v>
      </c>
      <c r="F5" s="3622"/>
      <c r="G5" s="3623"/>
      <c r="H5" s="3623"/>
      <c r="I5" s="3624"/>
      <c r="W5" s="3432">
        <v>17</v>
      </c>
    </row>
    <row customHeight="1" ht="11.549999999999999">
      <c r="D6" s="3625"/>
      <c r="E6" s="3433"/>
      <c r="F6" s="3433"/>
      <c r="K6" s="3575"/>
      <c r="W6" s="3434">
        <v>11</v>
      </c>
    </row>
    <row customHeight="1" ht="14.699999999999998">
      <c r="D7" s="3602"/>
      <c r="E7" s="3578" t="s">
        <v>315</v>
      </c>
      <c r="F7" s="3578"/>
      <c r="G7" s="3579"/>
      <c r="H7" s="3579"/>
      <c r="I7" s="3579"/>
      <c r="J7" s="3579"/>
      <c r="K7" s="3579"/>
      <c r="L7" s="3525" t="s">
        <v>316</v>
      </c>
      <c r="W7" s="3432">
        <v>14</v>
      </c>
    </row>
    <row customHeight="1" ht="48.29999999999999">
      <c r="D8" s="3602"/>
      <c r="E8" s="3579" t="s">
        <v>86</v>
      </c>
      <c r="F8" s="3579"/>
      <c r="G8" s="3480" t="s">
        <v>84</v>
      </c>
      <c r="H8" s="3480" t="s">
        <v>85</v>
      </c>
      <c r="I8" s="3525" t="s">
        <v>83</v>
      </c>
      <c r="J8" s="3525" t="s">
        <v>404</v>
      </c>
      <c r="K8" s="3525" t="s">
        <v>405</v>
      </c>
      <c r="L8" s="3525"/>
      <c r="W8" s="3432">
        <v>46</v>
      </c>
    </row>
    <row customHeight="1" ht="12" hidden="1">
      <c r="D9" s="3635"/>
      <c r="E9" s="420"/>
      <c r="F9" s="420"/>
      <c r="G9" s="420"/>
      <c r="H9" s="420"/>
      <c r="I9" s="420"/>
      <c r="J9" s="420"/>
      <c r="K9" s="420"/>
      <c r="L9" s="420"/>
      <c r="W9" s="3432">
        <v>0</v>
      </c>
    </row>
    <row customHeight="1" ht="14.25" hidden="1">
      <c r="D10" s="3602"/>
      <c r="E10" s="3480">
        <v>0</v>
      </c>
      <c r="F10" s="3480"/>
      <c r="G10" s="421"/>
      <c r="H10" s="421"/>
      <c r="I10" s="421"/>
      <c r="J10" s="421"/>
      <c r="K10" s="421"/>
      <c r="L10" s="3640" t="s">
        <v>406</v>
      </c>
      <c r="W10" s="3432">
        <v>0</v>
      </c>
    </row>
    <row customHeight="1" ht="15" hidden="1">
      <c r="D11" s="3649"/>
      <c r="E11" s="423"/>
      <c r="F11" s="423"/>
      <c r="G11" s="423"/>
      <c r="H11" s="423"/>
      <c r="I11" s="200"/>
      <c r="J11" s="424"/>
      <c r="K11" s="425"/>
      <c r="L11" s="3650"/>
      <c r="W11" s="3432">
        <v>0</v>
      </c>
    </row>
    <row customHeight="1" ht="15">
      <c r="D12" s="3651"/>
      <c r="E12" s="3579">
        <v>1</v>
      </c>
      <c r="F12" s="3652">
        <v>23</v>
      </c>
      <c r="G12" s="429"/>
      <c r="H12" s="162"/>
      <c r="I12" s="163"/>
      <c r="J12" s="430" t="s">
        <v>61</v>
      </c>
      <c r="K12" s="431" t="s">
        <v>22</v>
      </c>
      <c r="L12" s="3650"/>
      <c r="P12" s="3653" t="s">
        <v>407</v>
      </c>
      <c r="Q12" s="3653" t="s">
        <v>408</v>
      </c>
      <c r="R12" s="433" t="s">
        <v>409</v>
      </c>
      <c r="S12" s="3473" t="s">
        <v>410</v>
      </c>
      <c r="W12" s="3434">
        <v>14</v>
      </c>
    </row>
    <row customHeight="1" ht="15.75">
      <c r="D13" s="3602"/>
      <c r="E13" s="404"/>
      <c r="F13" s="434"/>
      <c r="G13" s="172" t="s">
        <v>100</v>
      </c>
      <c r="H13" s="435"/>
      <c r="I13" s="435"/>
      <c r="J13" s="435"/>
      <c r="K13" s="436"/>
      <c r="L13" s="3642"/>
      <c r="W13" s="3432">
        <v>15</v>
      </c>
    </row>
    <row customHeight="1" ht="11.549999999999999">
      <c r="W14" s="3432">
        <v>11</v>
      </c>
    </row>
    <row customHeight="1" ht="14.699999999999998">
      <c r="G15" s="365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W15" s="3432">
        <v>14</v>
      </c>
    </row>
    <row customHeight="1" ht="14.699999999999998">
      <c r="W16" s="3432">
        <v>14</v>
      </c>
    </row>
    <row customHeight="1" ht="14.699999999999998">
      <c r="W17" s="3432">
        <v>14</v>
      </c>
    </row>
    <row customHeight="1" ht="14.699999999999998">
      <c r="W18" s="3432">
        <v>14</v>
      </c>
    </row>
    <row customHeight="1" ht="22.5" hidden="1">
      <c r="A19" s="3430" t="s">
        <v>80</v>
      </c>
      <c r="B19" s="3432">
        <v>0</v>
      </c>
      <c r="C19" s="3432">
        <v>0</v>
      </c>
      <c r="D19" s="3487">
        <v>3</v>
      </c>
      <c r="E19" s="3432">
        <v>6</v>
      </c>
      <c r="F19" s="3432">
        <v>0</v>
      </c>
      <c r="G19" s="3432">
        <v>30</v>
      </c>
      <c r="H19" s="3432">
        <v>30</v>
      </c>
      <c r="I19" s="3432">
        <v>8</v>
      </c>
      <c r="J19" s="3432">
        <v>12</v>
      </c>
      <c r="K19" s="3432">
        <v>46</v>
      </c>
      <c r="L19" s="3432">
        <v>100</v>
      </c>
      <c r="M19" s="3475">
        <v>7</v>
      </c>
      <c r="N19" s="3432">
        <v>10</v>
      </c>
      <c r="O19" s="3432">
        <v>10</v>
      </c>
      <c r="P19" s="3432">
        <v>10</v>
      </c>
      <c r="Q19" s="3432">
        <v>10</v>
      </c>
      <c r="R19" s="3432">
        <v>10</v>
      </c>
      <c r="S19" s="3432">
        <v>10</v>
      </c>
      <c r="T19" s="3432">
        <v>10</v>
      </c>
      <c r="U19" s="3432">
        <v>10</v>
      </c>
      <c r="V19" s="3432">
        <v>10</v>
      </c>
      <c r="W19" s="343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6BB89-575D-CE86-669B-1E56F9C443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2" style="7348" width="24.7109375" hidden="1" customWidth="1"/>
    <col min="23" max="23" style="7348" width="0.140625" hidden="1" customWidth="1"/>
    <col min="24" max="25" style="7348" width="24.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24.7109375" customWidth="1"/>
    <col min="31" max="31" style="7348" width="0.140625" customWidth="1"/>
    <col min="32" max="33" style="7348" width="24.00390625" customWidth="1"/>
    <col min="34" max="34" style="7348" width="11.00390625" customWidth="1"/>
    <col min="35" max="35" style="7348" width="3.7109375" customWidth="1"/>
    <col min="36" max="36" style="7348" width="11.00390625" customWidth="1"/>
    <col min="37" max="37" style="7348" width="8.57421875" hidden="1" customWidth="1"/>
    <col min="38" max="38" style="7348" width="4.00390625" customWidth="1"/>
    <col min="39" max="39" style="7348" width="115.00390625" customWidth="1"/>
    <col min="40" max="44" style="7348" width="10.00390625" customWidth="1"/>
    <col min="45" max="45" style="7348" width="10.57421875" hidden="1"/>
  </cols>
  <sheetData>
    <row customHeight="1" ht="22.5" hidden="1">
      <c r="AS1" s="3432" t="s">
        <v>14</v>
      </c>
    </row>
    <row customHeight="1" ht="21" hidden="1">
      <c r="E2" s="3817">
        <v>1</v>
      </c>
      <c r="R2" s="816"/>
      <c r="S2" s="3818">
        <f>INDEX(PT_DIFFERENTIATION_NUM_NTAR,MATCH(A2,PT_DIFFERENTIATION_NTAR_ID,0))</f>
      </c>
      <c r="T2" s="3764" t="s">
        <v>141</v>
      </c>
      <c r="U2" s="3819"/>
      <c r="V2" s="3820"/>
      <c r="W2" s="3821"/>
      <c r="X2" s="3821"/>
      <c r="Y2" s="3821"/>
      <c r="Z2" s="3821"/>
      <c r="AA2" s="3821"/>
      <c r="AB2" s="3821"/>
      <c r="AC2" s="3822"/>
      <c r="AD2" s="3820">
        <f>INDEX(PT_DIFFERENTIATION_NTAR,MATCH(A2,PT_DIFFERENTIATION_NTAR_ID,0))</f>
      </c>
      <c r="AE2" s="3821"/>
      <c r="AF2" s="3821"/>
      <c r="AG2" s="3821"/>
      <c r="AH2" s="3821"/>
      <c r="AI2" s="3821"/>
      <c r="AJ2" s="3821"/>
      <c r="AK2" s="3821"/>
      <c r="AL2" s="3822"/>
      <c r="AM2" s="3823" t="s">
        <v>411</v>
      </c>
      <c r="AP2" s="3479" t="str">
        <f>IF(T2="","",T2)</f>
        <v>Наименование тарифа</v>
      </c>
      <c r="AS2" s="3432">
        <v>0</v>
      </c>
    </row>
    <row customHeight="1" ht="21" hidden="1">
      <c r="E3" s="3824"/>
      <c r="F3" s="3817">
        <v>1</v>
      </c>
      <c r="Q3" s="3825"/>
      <c r="R3" s="3826"/>
      <c r="S3" s="3818">
        <f>INDEX(PT_DIFFERENTIATION_NUM_TER,MATCH(B3,PT_DIFFERENTIATION_TER_ID,0))</f>
      </c>
      <c r="T3" s="3827" t="s">
        <v>412</v>
      </c>
      <c r="U3" s="3819"/>
      <c r="V3" s="3820"/>
      <c r="W3" s="3821"/>
      <c r="X3" s="3821"/>
      <c r="Y3" s="3821"/>
      <c r="Z3" s="3821"/>
      <c r="AA3" s="3821"/>
      <c r="AB3" s="3821"/>
      <c r="AC3" s="3822"/>
      <c r="AD3" s="3820">
        <f>INDEX(PT_DIFFERENTIATION_TER,MATCH(B3,PT_DIFFERENTIATION_TER_ID,0))</f>
      </c>
      <c r="AE3" s="3821"/>
      <c r="AF3" s="3821"/>
      <c r="AG3" s="3821"/>
      <c r="AH3" s="3821"/>
      <c r="AI3" s="3821"/>
      <c r="AJ3" s="3821"/>
      <c r="AK3" s="3821"/>
      <c r="AL3" s="3822"/>
      <c r="AM3" s="3823" t="s">
        <v>413</v>
      </c>
      <c r="AP3" s="3479" t="str">
        <f>IF(T3="","",T3)</f>
        <v>Территория действия тарифа</v>
      </c>
      <c r="AS3" s="3432">
        <v>0</v>
      </c>
    </row>
    <row customHeight="1" ht="23.25" hidden="1">
      <c r="E4" s="3824"/>
      <c r="F4" s="3824"/>
      <c r="G4" s="3817">
        <v>1</v>
      </c>
      <c r="Q4" s="3825"/>
      <c r="R4" s="3826"/>
      <c r="S4" s="3818">
        <f>INDEX(PT_DIFFERENTIATION_NUM_CS,MATCH(C4,PT_DIFFERENTIATION_CS_ID,0))</f>
      </c>
      <c r="T4" s="3828" t="s">
        <v>414</v>
      </c>
      <c r="U4" s="3819"/>
      <c r="V4" s="3820"/>
      <c r="W4" s="3821"/>
      <c r="X4" s="3821"/>
      <c r="Y4" s="3821"/>
      <c r="Z4" s="3821"/>
      <c r="AA4" s="3821"/>
      <c r="AB4" s="3821"/>
      <c r="AC4" s="3822"/>
      <c r="AD4" s="3820">
        <f>INDEX(PT_DIFFERENTIATION_CS,MATCH(C4,PT_DIFFERENTIATION_CS_ID,0))</f>
      </c>
      <c r="AE4" s="3821"/>
      <c r="AF4" s="3821"/>
      <c r="AG4" s="3821"/>
      <c r="AH4" s="3821"/>
      <c r="AI4" s="3821"/>
      <c r="AJ4" s="3821"/>
      <c r="AK4" s="3821"/>
      <c r="AL4" s="3822"/>
      <c r="AM4" s="3823" t="s">
        <v>415</v>
      </c>
      <c r="AP4" s="3479" t="str">
        <f>IF(T4="","",T4)</f>
        <v>Наименование системы теплоснабжения </v>
      </c>
      <c r="AS4" s="3432">
        <v>0</v>
      </c>
    </row>
    <row customHeight="1" ht="21" hidden="1">
      <c r="E5" s="3824"/>
      <c r="F5" s="3824"/>
      <c r="G5" s="3824"/>
      <c r="H5" s="3817">
        <v>1</v>
      </c>
      <c r="Q5" s="3825"/>
      <c r="R5" s="3826"/>
      <c r="S5" s="3818">
        <f>INDEX(PT_DIFFERENTIATION_NUM_IST_TE,MATCH(D5,PT_DIFFERENTIATION_IST_TE_ID,0))</f>
      </c>
      <c r="T5" s="3829" t="s">
        <v>416</v>
      </c>
      <c r="U5" s="3819"/>
      <c r="V5" s="3820"/>
      <c r="W5" s="3821"/>
      <c r="X5" s="3821"/>
      <c r="Y5" s="3821"/>
      <c r="Z5" s="3821"/>
      <c r="AA5" s="3821"/>
      <c r="AB5" s="3821"/>
      <c r="AC5" s="3822"/>
      <c r="AD5" s="3820">
        <f>INDEX(PT_DIFFERENTIATION_IST_TE,MATCH(D5,PT_DIFFERENTIATION_IST_TE_ID,0))</f>
      </c>
      <c r="AE5" s="3821"/>
      <c r="AF5" s="3821"/>
      <c r="AG5" s="3821"/>
      <c r="AH5" s="3821"/>
      <c r="AI5" s="3821"/>
      <c r="AJ5" s="3821"/>
      <c r="AK5" s="3821"/>
      <c r="AL5" s="3822"/>
      <c r="AM5" s="3823" t="s">
        <v>417</v>
      </c>
      <c r="AP5" s="3479" t="str">
        <f>IF(T5="","",T5)</f>
        <v>Источник тепловой энергии  </v>
      </c>
      <c r="AS5" s="3432">
        <v>0</v>
      </c>
    </row>
    <row customHeight="1" ht="47.25" hidden="1">
      <c r="E6" s="3824"/>
      <c r="F6" s="3824"/>
      <c r="G6" s="3824"/>
      <c r="H6" s="3824"/>
      <c r="I6" s="3711">
        <f>S5&amp;".1"</f>
      </c>
      <c r="L6" s="3830" t="s">
        <v>418</v>
      </c>
      <c r="P6" s="3471">
        <v>1</v>
      </c>
      <c r="R6" s="3831"/>
      <c r="S6" s="3818">
        <f>$I6</f>
      </c>
      <c r="T6" s="3832" t="s">
        <v>419</v>
      </c>
      <c r="U6" s="3819"/>
      <c r="V6" s="3638"/>
      <c r="W6" s="3833"/>
      <c r="X6" s="3833"/>
      <c r="Y6" s="3833"/>
      <c r="Z6" s="3833"/>
      <c r="AA6" s="3833"/>
      <c r="AB6" s="3833"/>
      <c r="AC6" s="3834"/>
      <c r="AD6" s="3638"/>
      <c r="AE6" s="3833"/>
      <c r="AF6" s="3833"/>
      <c r="AG6" s="3833"/>
      <c r="AH6" s="3833"/>
      <c r="AI6" s="3833"/>
      <c r="AJ6" s="3833"/>
      <c r="AK6" s="3833"/>
      <c r="AL6" s="3834"/>
      <c r="AM6" s="3823" t="s">
        <v>420</v>
      </c>
      <c r="AP6" s="3479" t="str">
        <f>IF(T6="","",T6)</f>
        <v>Схема подключения теплопотребляющей установки к коллектору источника тепловой энергии</v>
      </c>
      <c r="AS6" s="3432">
        <v>0</v>
      </c>
    </row>
    <row customHeight="1" ht="21" hidden="1">
      <c r="E7" s="3824"/>
      <c r="F7" s="3824"/>
      <c r="G7" s="3824"/>
      <c r="H7" s="3824"/>
      <c r="I7" s="3835"/>
      <c r="J7" s="3711">
        <f>I6&amp;".1"</f>
      </c>
      <c r="L7" s="3830" t="s">
        <v>421</v>
      </c>
      <c r="Q7" s="3471">
        <v>1</v>
      </c>
      <c r="R7" s="3836"/>
      <c r="S7" s="3818">
        <f>$J7</f>
      </c>
      <c r="T7" s="3837" t="s">
        <v>422</v>
      </c>
      <c r="U7" s="3819"/>
      <c r="V7" s="3638"/>
      <c r="W7" s="3833"/>
      <c r="X7" s="3833"/>
      <c r="Y7" s="3833"/>
      <c r="Z7" s="3833"/>
      <c r="AA7" s="3833"/>
      <c r="AB7" s="3833"/>
      <c r="AC7" s="3834"/>
      <c r="AD7" s="3638"/>
      <c r="AE7" s="3833"/>
      <c r="AF7" s="3833"/>
      <c r="AG7" s="3833"/>
      <c r="AH7" s="3833"/>
      <c r="AI7" s="3833"/>
      <c r="AJ7" s="3833"/>
      <c r="AK7" s="3833"/>
      <c r="AL7" s="3834"/>
      <c r="AM7" s="3823" t="s">
        <v>423</v>
      </c>
      <c r="AP7" s="3479" t="str">
        <f>IF(T7="","",T7)</f>
        <v>Группа потребителей</v>
      </c>
      <c r="AS7" s="3432">
        <v>0</v>
      </c>
    </row>
    <row customHeight="1" ht="21" hidden="1">
      <c r="E8" s="3824"/>
      <c r="F8" s="3824"/>
      <c r="G8" s="3824"/>
      <c r="H8" s="3824"/>
      <c r="I8" s="3835"/>
      <c r="J8" s="3835"/>
      <c r="K8" s="3711">
        <f>J7&amp;".1"</f>
      </c>
      <c r="L8" s="3830" t="s">
        <v>424</v>
      </c>
      <c r="R8" s="3836">
        <v>1</v>
      </c>
      <c r="S8" s="3818">
        <f>$K8</f>
      </c>
      <c r="T8" s="3838"/>
      <c r="U8" s="3819"/>
      <c r="V8" s="838"/>
      <c r="W8" s="839"/>
      <c r="X8" s="838"/>
      <c r="Y8" s="840"/>
      <c r="Z8" s="572"/>
      <c r="AA8" s="210" t="s">
        <v>61</v>
      </c>
      <c r="AB8" s="572"/>
      <c r="AC8" s="210" t="s">
        <v>61</v>
      </c>
      <c r="AD8" s="838"/>
      <c r="AE8" s="839"/>
      <c r="AF8" s="838"/>
      <c r="AG8" s="840"/>
      <c r="AH8" s="572"/>
      <c r="AI8" s="210" t="s">
        <v>61</v>
      </c>
      <c r="AJ8" s="572"/>
      <c r="AK8" s="210" t="s">
        <v>61</v>
      </c>
      <c r="AL8" s="839"/>
      <c r="AM8" s="3839" t="s">
        <v>425</v>
      </c>
      <c r="AN8" s="3473">
        <f>STRCHECKDATE(V9:AL9)</f>
      </c>
      <c r="AP8" s="3479" t="str">
        <f>IF(T8="","",T8)</f>
        <v/>
      </c>
      <c r="AS8" s="3432">
        <v>0</v>
      </c>
    </row>
    <row customHeight="1" ht="0.75" hidden="1">
      <c r="E9" s="3824"/>
      <c r="F9" s="3824"/>
      <c r="G9" s="3824"/>
      <c r="H9" s="3824"/>
      <c r="I9" s="3835"/>
      <c r="J9" s="3835"/>
      <c r="K9" s="3711"/>
      <c r="R9" s="3836"/>
      <c r="S9" s="421"/>
      <c r="T9" s="3819"/>
      <c r="U9" s="3819"/>
      <c r="V9" s="839"/>
      <c r="W9" s="839"/>
      <c r="X9" s="839"/>
      <c r="Y9" s="842" t="str">
        <f>Z8&amp;"-"&amp;AB8</f>
        <v>-</v>
      </c>
      <c r="Z9" s="573"/>
      <c r="AA9" s="210"/>
      <c r="AB9" s="573"/>
      <c r="AC9" s="210"/>
      <c r="AD9" s="839"/>
      <c r="AE9" s="839"/>
      <c r="AF9" s="839"/>
      <c r="AG9" s="842" t="str">
        <f>AH8&amp;"-"&amp;AJ8</f>
        <v>-</v>
      </c>
      <c r="AH9" s="573"/>
      <c r="AI9" s="210"/>
      <c r="AJ9" s="573"/>
      <c r="AK9" s="210"/>
      <c r="AL9" s="839"/>
      <c r="AM9" s="3840"/>
      <c r="AP9" s="3479" t="str">
        <f>IF(T9="","",T9)</f>
        <v/>
      </c>
      <c r="AS9" s="3432">
        <v>0</v>
      </c>
    </row>
    <row customHeight="1" ht="15" hidden="1">
      <c r="E10" s="3824"/>
      <c r="F10" s="3824"/>
      <c r="G10" s="3824"/>
      <c r="H10" s="3824"/>
      <c r="I10" s="3835"/>
      <c r="J10" s="3711"/>
      <c r="R10" s="3831"/>
      <c r="S10" s="844"/>
      <c r="T10" s="845" t="s">
        <v>426</v>
      </c>
      <c r="U10" s="200"/>
      <c r="V10" s="200"/>
      <c r="W10" s="200"/>
      <c r="X10" s="200"/>
      <c r="Y10" s="200"/>
      <c r="Z10" s="200"/>
      <c r="AA10" s="200"/>
      <c r="AB10" s="200"/>
      <c r="AC10" s="200"/>
      <c r="AD10" s="200"/>
      <c r="AE10" s="200"/>
      <c r="AF10" s="200"/>
      <c r="AG10" s="200"/>
      <c r="AH10" s="200"/>
      <c r="AI10" s="200"/>
      <c r="AJ10" s="200"/>
      <c r="AK10" s="200"/>
      <c r="AL10" s="846"/>
      <c r="AM10" s="3841"/>
      <c r="AP10" s="3479" t="str">
        <f>IF(T10="","",T10)</f>
        <v>Добавить вид теплоносителя (параметры теплоносителя)</v>
      </c>
      <c r="AS10" s="3432">
        <v>0</v>
      </c>
    </row>
    <row customHeight="1" ht="15" hidden="1">
      <c r="E11" s="3824"/>
      <c r="F11" s="3824"/>
      <c r="G11" s="3824"/>
      <c r="H11" s="3824"/>
      <c r="I11" s="3711"/>
      <c r="R11" s="3831"/>
      <c r="S11" s="844"/>
      <c r="T11" s="848" t="s">
        <v>427</v>
      </c>
      <c r="U11" s="200"/>
      <c r="V11" s="200"/>
      <c r="W11" s="200"/>
      <c r="X11" s="200"/>
      <c r="Y11" s="200"/>
      <c r="Z11" s="200"/>
      <c r="AA11" s="200"/>
      <c r="AB11" s="200"/>
      <c r="AC11" s="849"/>
      <c r="AD11" s="200"/>
      <c r="AE11" s="200"/>
      <c r="AF11" s="200"/>
      <c r="AG11" s="200"/>
      <c r="AH11" s="200"/>
      <c r="AI11" s="200"/>
      <c r="AJ11" s="200"/>
      <c r="AK11" s="849"/>
      <c r="AL11" s="200"/>
      <c r="AM11" s="850"/>
      <c r="AP11" s="3479" t="str">
        <f>IF(T11="","",T11)</f>
        <v>Добавить группу потребителей</v>
      </c>
      <c r="AS11" s="3432">
        <v>0</v>
      </c>
    </row>
    <row customHeight="1" ht="14.25" hidden="1">
      <c r="E12" s="3824"/>
      <c r="F12" s="3824"/>
      <c r="G12" s="3824"/>
      <c r="H12" s="3817"/>
      <c r="R12" s="816"/>
      <c r="S12" s="844"/>
      <c r="T12" s="851" t="s">
        <v>428</v>
      </c>
      <c r="U12" s="200"/>
      <c r="V12" s="200"/>
      <c r="W12" s="200"/>
      <c r="X12" s="200"/>
      <c r="Y12" s="200"/>
      <c r="Z12" s="200"/>
      <c r="AA12" s="200"/>
      <c r="AB12" s="200"/>
      <c r="AC12" s="849"/>
      <c r="AD12" s="200"/>
      <c r="AE12" s="200"/>
      <c r="AF12" s="200"/>
      <c r="AG12" s="200"/>
      <c r="AH12" s="200"/>
      <c r="AI12" s="200"/>
      <c r="AJ12" s="200"/>
      <c r="AK12" s="849"/>
      <c r="AL12" s="200"/>
      <c r="AM12" s="850"/>
      <c r="AP12" s="3479" t="str">
        <f>IF(T12="","",T12)</f>
        <v>Добавить схему подключения</v>
      </c>
      <c r="AS12" s="3432">
        <v>0</v>
      </c>
    </row>
    <row customHeight="1" ht="0.75" hidden="1">
      <c r="E13" s="3824"/>
      <c r="F13" s="3824"/>
      <c r="G13" s="3817"/>
      <c r="S13" s="852"/>
      <c r="T13" s="853" t="s">
        <v>429</v>
      </c>
      <c r="U13" s="854"/>
      <c r="V13" s="854"/>
      <c r="W13" s="854"/>
      <c r="X13" s="854"/>
      <c r="Y13" s="854"/>
      <c r="Z13" s="854"/>
      <c r="AA13" s="854"/>
      <c r="AB13" s="854"/>
      <c r="AC13" s="854"/>
      <c r="AD13" s="854"/>
      <c r="AE13" s="854"/>
      <c r="AF13" s="854"/>
      <c r="AG13" s="854"/>
      <c r="AH13" s="854"/>
      <c r="AI13" s="854"/>
      <c r="AJ13" s="854"/>
      <c r="AK13" s="854"/>
      <c r="AL13" s="854"/>
      <c r="AM13" s="854"/>
      <c r="AP13" s="3479" t="str">
        <f>IF(T13="","",T13)</f>
        <v>Добавить источник для дифференциации</v>
      </c>
      <c r="AS13" s="3473">
        <v>0</v>
      </c>
    </row>
    <row customHeight="1" ht="0.75" hidden="1">
      <c r="E14" s="3824"/>
      <c r="F14" s="3817"/>
      <c r="T14" s="855" t="s">
        <v>430</v>
      </c>
      <c r="AP14" s="3479" t="str">
        <f>IF(T14="","",T14)</f>
        <v>Добавить централизованную систему для дифференциации</v>
      </c>
      <c r="AS14" s="3473">
        <v>0</v>
      </c>
    </row>
    <row customHeight="1" ht="0.75" hidden="1">
      <c r="E15" s="3817"/>
      <c r="T15" s="856" t="s">
        <v>431</v>
      </c>
      <c r="AP15" s="3479" t="str">
        <f>IF(T15="","",T15)</f>
        <v>Добавить территорию для дифференциации</v>
      </c>
      <c r="AS15" s="3473">
        <v>0</v>
      </c>
    </row>
    <row customHeight="1" ht="14.25" hidden="1">
      <c r="AS16" s="3432">
        <v>0</v>
      </c>
    </row>
    <row customHeight="1" ht="14.25" hidden="1">
      <c r="AD17" s="719"/>
      <c r="AE17" s="719"/>
      <c r="AF17" s="719"/>
      <c r="AG17" s="857"/>
      <c r="AH17" s="858"/>
      <c r="AI17" s="616" t="s">
        <v>61</v>
      </c>
      <c r="AJ17" s="858"/>
      <c r="AK17" s="616" t="s">
        <v>61</v>
      </c>
      <c r="AS17" s="3432">
        <v>0</v>
      </c>
    </row>
    <row customHeight="1" ht="14.25" hidden="1">
      <c r="AD18" s="719"/>
      <c r="AE18" s="719"/>
      <c r="AF18" s="719"/>
      <c r="AG18" s="842" t="str">
        <f>AH17&amp;"-"&amp;AJ17</f>
        <v>-</v>
      </c>
      <c r="AH18" s="616"/>
      <c r="AI18" s="616"/>
      <c r="AJ18" s="616"/>
      <c r="AK18" s="616"/>
      <c r="AS18" s="3432">
        <v>0</v>
      </c>
    </row>
    <row customHeight="1" ht="14.25" hidden="1">
      <c r="AS19" s="3432">
        <v>0</v>
      </c>
    </row>
    <row customHeight="1" ht="22.5" hidden="1">
      <c r="O20" s="859" t="s">
        <v>432</v>
      </c>
      <c r="Z20" s="859"/>
      <c r="AB20" s="859"/>
      <c r="AH20" s="859"/>
      <c r="AJ20" s="859"/>
      <c r="AS20" s="3449">
        <v>0</v>
      </c>
    </row>
    <row customHeight="1" ht="14.25" hidden="1">
      <c r="AS21" s="3449">
        <v>0</v>
      </c>
    </row>
    <row customHeight="1" ht="14.25" hidden="1">
      <c r="O22" s="3830" t="s">
        <v>433</v>
      </c>
      <c r="T22" s="3449" t="s">
        <v>434</v>
      </c>
      <c r="AA22" s="3511" t="s">
        <v>435</v>
      </c>
      <c r="AC22" s="3511" t="s">
        <v>436</v>
      </c>
      <c r="AD22" s="3449" t="s">
        <v>434</v>
      </c>
      <c r="AI22" s="3511" t="s">
        <v>437</v>
      </c>
      <c r="AK22" s="3511" t="s">
        <v>436</v>
      </c>
      <c r="AS22" s="3449">
        <v>0</v>
      </c>
    </row>
    <row customHeight="1" ht="14.25" hidden="1">
      <c r="AS23" s="3432">
        <v>0</v>
      </c>
    </row>
    <row customHeight="1" ht="14.25" hidden="1">
      <c r="AS24" s="3432">
        <v>0</v>
      </c>
    </row>
    <row customHeight="1" ht="14.699999999999998">
      <c r="Q25" s="3719"/>
      <c r="R25" s="3719"/>
      <c r="S25" s="3842"/>
      <c r="T25" s="3450"/>
      <c r="U25" s="3450"/>
      <c r="AS25" s="3432">
        <v>14</v>
      </c>
    </row>
    <row customHeight="1" ht="14.699999999999998">
      <c r="Q26" s="3719"/>
      <c r="R26" s="3719"/>
      <c r="S26" s="3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46"/>
      <c r="U26" s="3646"/>
      <c r="V26" s="3646"/>
      <c r="W26" s="3646"/>
      <c r="X26" s="3646"/>
      <c r="Y26" s="3646"/>
      <c r="Z26" s="3646"/>
      <c r="AA26" s="3646"/>
      <c r="AB26" s="3646"/>
      <c r="AC26" s="3646"/>
      <c r="AD26" s="3646"/>
      <c r="AE26" s="3646"/>
      <c r="AF26" s="3646"/>
      <c r="AG26" s="3646"/>
      <c r="AH26" s="3646"/>
      <c r="AI26" s="3646"/>
      <c r="AJ26" s="3646"/>
      <c r="AS26" s="3432">
        <v>14</v>
      </c>
    </row>
    <row customHeight="1" ht="14.699999999999998">
      <c r="Q27" s="3719"/>
      <c r="R27" s="3719"/>
      <c r="S27" s="3554" t="str">
        <f>IF(org=0,"Не определено",org)</f>
        <v>ООО "ТеплоЭлектроГенерирующая Компания"</v>
      </c>
      <c r="T27" s="3554"/>
      <c r="U27" s="3554"/>
      <c r="V27" s="3554"/>
      <c r="W27" s="3554"/>
      <c r="X27" s="3554"/>
      <c r="Y27" s="3554"/>
      <c r="Z27" s="3554"/>
      <c r="AA27" s="3554"/>
      <c r="AB27" s="3554"/>
      <c r="AC27" s="3554"/>
      <c r="AD27" s="3554"/>
      <c r="AE27" s="3554"/>
      <c r="AF27" s="3554"/>
      <c r="AG27" s="3554"/>
      <c r="AH27" s="3554"/>
      <c r="AI27" s="3554"/>
      <c r="AJ27" s="3554"/>
      <c r="AS27" s="3432">
        <v>14</v>
      </c>
    </row>
    <row customHeight="1" ht="14.25" hidden="1">
      <c r="Q28" s="3719"/>
      <c r="R28" s="3719"/>
      <c r="S28" s="3842"/>
      <c r="T28" s="3450"/>
      <c r="U28" s="3450"/>
      <c r="V28" s="3804"/>
      <c r="W28" s="3804"/>
      <c r="X28" s="3804"/>
      <c r="Y28" s="3804"/>
      <c r="Z28" s="3804"/>
      <c r="AA28" s="3804"/>
      <c r="AB28" s="3804"/>
      <c r="AC28" s="3804"/>
      <c r="AD28" s="3804"/>
      <c r="AE28" s="3804"/>
      <c r="AF28" s="3804"/>
      <c r="AG28" s="3804"/>
      <c r="AH28" s="3804"/>
      <c r="AI28" s="3804"/>
      <c r="AJ28" s="3804"/>
      <c r="AK28" s="3804"/>
      <c r="AS28" s="3432">
        <v>0</v>
      </c>
    </row>
    <row customHeight="1" ht="25.5" hidden="1">
      <c r="S29" s="3843" t="s">
        <v>41</v>
      </c>
      <c r="T29" s="3843"/>
      <c r="U29" s="3844"/>
      <c r="V29" s="3806" t="str">
        <f>IF(TITLE_NAME_OR_PR_CHANGE="",IF(TITLE_NAME_OR_PR="","",TITLE_NAME_OR_PR),TITLE_NAME_OR_PR_CHANGE)</f>
        <v/>
      </c>
      <c r="W29" s="3806"/>
      <c r="X29" s="3806"/>
      <c r="Y29" s="3806"/>
      <c r="Z29" s="3806"/>
      <c r="AA29" s="3806"/>
      <c r="AB29" s="3806"/>
      <c r="AD29" s="3806" t="str">
        <f>IF(TITLE_NAME_OR_PR_CHANGE="",IF(TITLE_NAME_OR_PR="","",TITLE_NAME_OR_PR),TITLE_NAME_OR_PR_CHANGE)</f>
        <v/>
      </c>
      <c r="AE29" s="3806"/>
      <c r="AF29" s="3806"/>
      <c r="AG29" s="3806"/>
      <c r="AH29" s="3806"/>
      <c r="AI29" s="3806"/>
      <c r="AJ29" s="3806"/>
      <c r="AS29" s="3489">
        <v>0</v>
      </c>
    </row>
    <row customHeight="1" ht="18.75" hidden="1">
      <c r="S30" s="3843" t="s">
        <v>438</v>
      </c>
      <c r="T30" s="3843"/>
      <c r="U30" s="3844"/>
      <c r="V30" s="795" t="str">
        <f>IF(TITLE_DATE_PR_CHANGE="",IF(TITLE_DATE_PR="","",TITLE_DATE_PR),TITLE_DATE_PR_CHANGE)</f>
        <v/>
      </c>
      <c r="W30" s="795"/>
      <c r="X30" s="795"/>
      <c r="Y30" s="795"/>
      <c r="Z30" s="795"/>
      <c r="AA30" s="795"/>
      <c r="AB30" s="795"/>
      <c r="AD30" s="795" t="str">
        <f>IF(TITLE_DATE_PR_CHANGE="",IF(TITLE_DATE_PR="","",TITLE_DATE_PR),TITLE_DATE_PR_CHANGE)</f>
        <v/>
      </c>
      <c r="AE30" s="795"/>
      <c r="AF30" s="795"/>
      <c r="AG30" s="795"/>
      <c r="AH30" s="795"/>
      <c r="AI30" s="795"/>
      <c r="AJ30" s="795"/>
      <c r="AS30" s="3489">
        <v>0</v>
      </c>
    </row>
    <row customHeight="1" ht="18.75" hidden="1">
      <c r="S31" s="3843" t="s">
        <v>439</v>
      </c>
      <c r="T31" s="3843"/>
      <c r="U31" s="3844"/>
      <c r="V31" s="3806" t="str">
        <f>IF(TITLE_NUMBER_PR_CHANGE="",IF(TITLE_NUMBER_PR="","",TITLE_NUMBER_PR),TITLE_NUMBER_PR_CHANGE)</f>
        <v/>
      </c>
      <c r="W31" s="3806"/>
      <c r="X31" s="3806"/>
      <c r="Y31" s="3806"/>
      <c r="Z31" s="3806"/>
      <c r="AA31" s="3806"/>
      <c r="AB31" s="3806"/>
      <c r="AD31" s="3806" t="str">
        <f>IF(TITLE_NUMBER_PR_CHANGE="",IF(TITLE_NUMBER_PR="","",TITLE_NUMBER_PR),TITLE_NUMBER_PR_CHANGE)</f>
        <v/>
      </c>
      <c r="AE31" s="3806"/>
      <c r="AF31" s="3806"/>
      <c r="AG31" s="3806"/>
      <c r="AH31" s="3806"/>
      <c r="AI31" s="3806"/>
      <c r="AJ31" s="3806"/>
      <c r="AS31" s="3489">
        <v>0</v>
      </c>
    </row>
    <row customHeight="1" ht="18.75" hidden="1">
      <c r="S32" s="3843" t="s">
        <v>42</v>
      </c>
      <c r="T32" s="3843"/>
      <c r="U32" s="3844"/>
      <c r="V32" s="3806" t="str">
        <f>IF(TITLE_IST_PUB_CHANGE="",IF(TITLE_IST_PUB="","",TITLE_IST_PUB),TITLE_IST_PUB_CHANGE)</f>
        <v/>
      </c>
      <c r="W32" s="3806"/>
      <c r="X32" s="3806"/>
      <c r="Y32" s="3806"/>
      <c r="Z32" s="3806"/>
      <c r="AA32" s="3806"/>
      <c r="AB32" s="3806"/>
      <c r="AD32" s="3806" t="str">
        <f>IF(TITLE_IST_PUB_CHANGE="",IF(TITLE_IST_PUB="","",TITLE_IST_PUB),TITLE_IST_PUB_CHANGE)</f>
        <v/>
      </c>
      <c r="AE32" s="3806"/>
      <c r="AF32" s="3806"/>
      <c r="AG32" s="3806"/>
      <c r="AH32" s="3806"/>
      <c r="AI32" s="3806"/>
      <c r="AJ32" s="3806"/>
      <c r="AS32" s="3489">
        <v>0</v>
      </c>
    </row>
    <row customHeight="1" ht="14.25" hidden="1">
      <c r="Q33" s="3719"/>
      <c r="R33" s="3719"/>
      <c r="S33" s="3842"/>
      <c r="T33" s="3450"/>
      <c r="U33" s="3450"/>
      <c r="V33" s="3804"/>
      <c r="W33" s="3804"/>
      <c r="X33" s="3804"/>
      <c r="Y33" s="3804"/>
      <c r="Z33" s="3804"/>
      <c r="AA33" s="3804"/>
      <c r="AB33" s="3804"/>
      <c r="AC33" s="3804"/>
      <c r="AD33" s="3804"/>
      <c r="AE33" s="3804"/>
      <c r="AF33" s="3804"/>
      <c r="AG33" s="3804"/>
      <c r="AH33" s="3804"/>
      <c r="AI33" s="3804"/>
      <c r="AJ33" s="3804"/>
      <c r="AK33" s="3804"/>
      <c r="AS33" s="3432">
        <v>0</v>
      </c>
    </row>
    <row customHeight="1" ht="18.75" hidden="1">
      <c r="S34" s="3843" t="s">
        <v>440</v>
      </c>
      <c r="T34" s="3843"/>
      <c r="U34" s="3844"/>
      <c r="V34" s="795" t="str">
        <f>IF(TITLE_DATE_PR_CHANGE="",IF(TITLE_DATE_PR="","",TITLE_DATE_PR),TITLE_DATE_PR_CHANGE)</f>
        <v/>
      </c>
      <c r="W34" s="795"/>
      <c r="X34" s="795"/>
      <c r="Y34" s="795"/>
      <c r="Z34" s="795"/>
      <c r="AA34" s="795"/>
      <c r="AB34" s="795"/>
      <c r="AD34" s="795" t="str">
        <f>IF(TITLE_DATE_PR_CHANGE="",IF(TITLE_DATE_PR="","",TITLE_DATE_PR),TITLE_DATE_PR_CHANGE)</f>
        <v/>
      </c>
      <c r="AE34" s="795"/>
      <c r="AF34" s="795"/>
      <c r="AG34" s="795"/>
      <c r="AH34" s="795"/>
      <c r="AI34" s="795"/>
      <c r="AJ34" s="795"/>
      <c r="AS34" s="3489">
        <v>0</v>
      </c>
    </row>
    <row customHeight="1" ht="18.75" hidden="1">
      <c r="S35" s="3843" t="s">
        <v>441</v>
      </c>
      <c r="T35" s="3843"/>
      <c r="U35" s="3844"/>
      <c r="V35" s="3806" t="str">
        <f>IF(TITLE_NUMBER_PR_CHANGE="",IF(TITLE_NUMBER_PR="","",TITLE_NUMBER_PR),TITLE_NUMBER_PR_CHANGE)</f>
        <v/>
      </c>
      <c r="W35" s="3806"/>
      <c r="X35" s="3806"/>
      <c r="Y35" s="3806"/>
      <c r="Z35" s="3806"/>
      <c r="AA35" s="3806"/>
      <c r="AB35" s="3806"/>
      <c r="AD35" s="3806" t="str">
        <f>IF(TITLE_NUMBER_PR_CHANGE="",IF(TITLE_NUMBER_PR="","",TITLE_NUMBER_PR),TITLE_NUMBER_PR_CHANGE)</f>
        <v/>
      </c>
      <c r="AE35" s="3806"/>
      <c r="AF35" s="3806"/>
      <c r="AG35" s="3806"/>
      <c r="AH35" s="3806"/>
      <c r="AI35" s="3806"/>
      <c r="AJ35" s="3806"/>
      <c r="AS35" s="3489">
        <v>0</v>
      </c>
    </row>
    <row customHeight="1" ht="0">
      <c r="AC36" s="3473" t="s">
        <v>442</v>
      </c>
      <c r="AK36" s="3473" t="s">
        <v>442</v>
      </c>
      <c r="AS36" s="3489">
        <v>0</v>
      </c>
    </row>
    <row customHeight="1" ht="14.699999999999998">
      <c r="Q37" s="3719"/>
      <c r="R37" s="3719"/>
      <c r="S37" s="3842"/>
      <c r="T37" s="3450"/>
      <c r="U37" s="3845"/>
      <c r="V37" s="3846"/>
      <c r="W37" s="3846"/>
      <c r="X37" s="3846"/>
      <c r="Y37" s="3846"/>
      <c r="Z37" s="3846"/>
      <c r="AA37" s="3846"/>
      <c r="AB37" s="3846"/>
      <c r="AC37" s="3846"/>
      <c r="AD37" s="3846"/>
      <c r="AE37" s="3846"/>
      <c r="AF37" s="3846"/>
      <c r="AG37" s="3846"/>
      <c r="AH37" s="3846"/>
      <c r="AI37" s="3846"/>
      <c r="AJ37" s="3846"/>
      <c r="AK37" s="3846"/>
      <c r="AS37" s="3432">
        <v>14</v>
      </c>
    </row>
    <row customHeight="1" ht="14.699999999999998">
      <c r="Q38" s="3719"/>
      <c r="R38" s="3719"/>
      <c r="S38" s="3480" t="s">
        <v>315</v>
      </c>
      <c r="T38" s="3480"/>
      <c r="U38" s="3480"/>
      <c r="V38" s="3480"/>
      <c r="W38" s="3480"/>
      <c r="X38" s="3480"/>
      <c r="Y38" s="3480"/>
      <c r="Z38" s="3480"/>
      <c r="AA38" s="3480"/>
      <c r="AB38" s="3480"/>
      <c r="AC38" s="3480"/>
      <c r="AD38" s="3480"/>
      <c r="AE38" s="3480"/>
      <c r="AF38" s="3480"/>
      <c r="AG38" s="3480"/>
      <c r="AH38" s="3480"/>
      <c r="AI38" s="3480"/>
      <c r="AJ38" s="3480"/>
      <c r="AK38" s="3480"/>
      <c r="AL38" s="3480"/>
      <c r="AM38" s="3480" t="s">
        <v>316</v>
      </c>
      <c r="AS38" s="3432">
        <v>14</v>
      </c>
    </row>
    <row customHeight="1" ht="14.699999999999998">
      <c r="Q39" s="3719"/>
      <c r="R39" s="3719"/>
      <c r="S39" s="3818" t="s">
        <v>86</v>
      </c>
      <c r="T39" s="3579" t="s">
        <v>443</v>
      </c>
      <c r="U39" s="3793"/>
      <c r="V39" s="3847" t="s">
        <v>444</v>
      </c>
      <c r="W39" s="3848"/>
      <c r="X39" s="3848"/>
      <c r="Y39" s="3848"/>
      <c r="Z39" s="3848"/>
      <c r="AA39" s="3848"/>
      <c r="AB39" s="3849"/>
      <c r="AC39" s="3807" t="s">
        <v>445</v>
      </c>
      <c r="AD39" s="3847" t="s">
        <v>444</v>
      </c>
      <c r="AE39" s="3848"/>
      <c r="AF39" s="3848"/>
      <c r="AG39" s="3848"/>
      <c r="AH39" s="3848"/>
      <c r="AI39" s="3848"/>
      <c r="AJ39" s="3849"/>
      <c r="AK39" s="3807" t="s">
        <v>446</v>
      </c>
      <c r="AL39" s="868" t="s">
        <v>447</v>
      </c>
      <c r="AM39" s="3480"/>
      <c r="AS39" s="3432">
        <v>14</v>
      </c>
    </row>
    <row customHeight="1" ht="35.699999999999996">
      <c r="Q40" s="3719"/>
      <c r="R40" s="3719"/>
      <c r="S40" s="3818"/>
      <c r="T40" s="3579"/>
      <c r="U40" s="3798"/>
      <c r="V40" s="3558" t="s">
        <v>448</v>
      </c>
      <c r="W40" s="3850" t="s">
        <v>449</v>
      </c>
      <c r="X40" s="3437" t="s">
        <v>450</v>
      </c>
      <c r="Y40" s="3436"/>
      <c r="Z40" s="3437" t="s">
        <v>451</v>
      </c>
      <c r="AA40" s="3477"/>
      <c r="AB40" s="3436"/>
      <c r="AC40" s="3851"/>
      <c r="AD40" s="3558" t="s">
        <v>448</v>
      </c>
      <c r="AE40" s="3850" t="s">
        <v>449</v>
      </c>
      <c r="AF40" s="3437" t="s">
        <v>450</v>
      </c>
      <c r="AG40" s="3436"/>
      <c r="AH40" s="3437" t="s">
        <v>451</v>
      </c>
      <c r="AI40" s="3477"/>
      <c r="AJ40" s="3436"/>
      <c r="AK40" s="3851"/>
      <c r="AL40" s="871"/>
      <c r="AM40" s="3480"/>
      <c r="AS40" s="3432">
        <v>34</v>
      </c>
    </row>
    <row customHeight="1" ht="35.699999999999996">
      <c r="B41" s="3511" t="s">
        <v>153</v>
      </c>
      <c r="C41" s="3511" t="s">
        <v>154</v>
      </c>
      <c r="D41" s="3511" t="s">
        <v>155</v>
      </c>
      <c r="E41" s="3830" t="s">
        <v>452</v>
      </c>
      <c r="F41" s="3830" t="s">
        <v>453</v>
      </c>
      <c r="G41" s="3830" t="s">
        <v>454</v>
      </c>
      <c r="H41" s="3830" t="s">
        <v>455</v>
      </c>
      <c r="I41" s="3830" t="s">
        <v>456</v>
      </c>
      <c r="J41" s="3830" t="s">
        <v>457</v>
      </c>
      <c r="K41" s="3830" t="s">
        <v>458</v>
      </c>
      <c r="L41" s="3830" t="s">
        <v>433</v>
      </c>
      <c r="Q41" s="3719"/>
      <c r="R41" s="3719"/>
      <c r="S41" s="3818"/>
      <c r="T41" s="3579"/>
      <c r="U41" s="3852"/>
      <c r="V41" s="3483"/>
      <c r="W41" s="3710"/>
      <c r="X41" s="3525" t="s">
        <v>459</v>
      </c>
      <c r="Y41" s="3525" t="s">
        <v>460</v>
      </c>
      <c r="Z41" s="3525" t="s">
        <v>461</v>
      </c>
      <c r="AA41" s="3626" t="s">
        <v>462</v>
      </c>
      <c r="AB41" s="3628"/>
      <c r="AC41" s="3810"/>
      <c r="AD41" s="3483"/>
      <c r="AE41" s="3710"/>
      <c r="AF41" s="3525" t="s">
        <v>459</v>
      </c>
      <c r="AG41" s="3525" t="s">
        <v>460</v>
      </c>
      <c r="AH41" s="3525" t="s">
        <v>461</v>
      </c>
      <c r="AI41" s="3626" t="s">
        <v>462</v>
      </c>
      <c r="AJ41" s="3628"/>
      <c r="AK41" s="3810"/>
      <c r="AL41" s="873"/>
      <c r="AM41" s="3480"/>
      <c r="AS41" s="3432">
        <v>34</v>
      </c>
    </row>
    <row customHeight="1" ht="11.25" hidden="1">
      <c r="Q42" s="3853"/>
      <c r="R42" s="3854">
        <v>1</v>
      </c>
      <c r="S42" s="876" t="s">
        <v>107</v>
      </c>
      <c r="T42" s="877" t="s">
        <v>108</v>
      </c>
      <c r="U42" s="3855" t="str">
        <f>OFFSET(U42,0,-1)</f>
        <v>2</v>
      </c>
      <c r="V42" s="3856">
        <f>OFFSET(V42,0,-1)+1</f>
        <v>3</v>
      </c>
      <c r="W42" s="3856"/>
      <c r="X42" s="3856">
        <f>OFFSET(X42,0,-1)+1</f>
        <v>1</v>
      </c>
      <c r="Y42" s="3856">
        <f>OFFSET(Y42,0,-1)+1</f>
        <v>2</v>
      </c>
      <c r="Z42" s="3856">
        <f>OFFSET(Z42,0,-1)+1</f>
        <v>3</v>
      </c>
      <c r="AA42" s="3856">
        <f>OFFSET(AA42,0,-1)+1</f>
        <v>4</v>
      </c>
      <c r="AB42" s="3856"/>
      <c r="AC42" s="3856">
        <f>OFFSET(AC42,0,-2)+1</f>
        <v>5</v>
      </c>
      <c r="AD42" s="3856">
        <f>OFFSET(AD42,0,-1)+1</f>
        <v>6</v>
      </c>
      <c r="AE42" s="3856"/>
      <c r="AF42" s="3856">
        <f>OFFSET(AF42,0,-1)+1</f>
        <v>1</v>
      </c>
      <c r="AG42" s="3856">
        <f>OFFSET(AG42,0,-1)+1</f>
        <v>2</v>
      </c>
      <c r="AH42" s="3856">
        <f>OFFSET(AH42,0,-1)+1</f>
        <v>3</v>
      </c>
      <c r="AI42" s="3856">
        <f>OFFSET(AI42,0,-1)+1</f>
        <v>4</v>
      </c>
      <c r="AJ42" s="3856"/>
      <c r="AK42" s="3856">
        <f>OFFSET(AK42,0,-2)+1</f>
        <v>5</v>
      </c>
      <c r="AL42" s="3855">
        <f>OFFSET(AL42,0,-1)</f>
        <v>5</v>
      </c>
      <c r="AM42" s="3856">
        <f>OFFSET(AM42,0,-1)+1</f>
        <v>6</v>
      </c>
      <c r="AS42" s="3637">
        <v>0</v>
      </c>
    </row>
    <row customHeight="1" ht="24">
      <c r="A43" s="3857" t="s">
        <v>173</v>
      </c>
      <c r="E43" s="3817">
        <v>1</v>
      </c>
      <c r="R43" s="816"/>
      <c r="S43" s="3818">
        <f>INDEX(PT_DIFFERENTIATION_NUM_NTAR,MATCH(A43,PT_DIFFERENTIATION_NTAR_ID,0))</f>
        <v>0</v>
      </c>
      <c r="T43" s="3764" t="s">
        <v>141</v>
      </c>
      <c r="U43" s="3819"/>
      <c r="V43" s="3820"/>
      <c r="W43" s="3821"/>
      <c r="X43" s="3821"/>
      <c r="Y43" s="3821"/>
      <c r="Z43" s="3821"/>
      <c r="AA43" s="3821"/>
      <c r="AB43" s="3821"/>
      <c r="AC43" s="3822"/>
      <c r="AD43" s="3820" t="str">
        <f>INDEX(PT_DIFFERENTIATION_NTAR,MATCH(A43,PT_DIFFERENTIATION_NTAR_ID,0))</f>
        <v/>
      </c>
      <c r="AE43" s="3821"/>
      <c r="AF43" s="3821"/>
      <c r="AG43" s="3821"/>
      <c r="AH43" s="3821"/>
      <c r="AI43" s="3821"/>
      <c r="AJ43" s="3821"/>
      <c r="AK43" s="3821"/>
      <c r="AL43" s="3822"/>
      <c r="AM43" s="38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3479" t="str">
        <f>IF(T43="","",T43)</f>
        <v>Наименование тарифа</v>
      </c>
      <c r="AS43" s="3432">
        <v>23</v>
      </c>
    </row>
    <row customHeight="1" ht="24">
      <c r="A44" s="3857" t="s">
        <v>173</v>
      </c>
      <c r="B44" s="3857" t="s">
        <v>174</v>
      </c>
      <c r="E44" s="3824"/>
      <c r="F44" s="3817">
        <v>1</v>
      </c>
      <c r="Q44" s="3825"/>
      <c r="R44" s="3826"/>
      <c r="S44" s="3818" t="str">
        <f>INDEX(PT_DIFFERENTIATION_NUM_TER,MATCH(B44,PT_DIFFERENTIATION_TER_ID,0))</f>
        <v>.</v>
      </c>
      <c r="T44" s="3827" t="s">
        <v>412</v>
      </c>
      <c r="U44" s="3819"/>
      <c r="V44" s="3820"/>
      <c r="W44" s="3821"/>
      <c r="X44" s="3821"/>
      <c r="Y44" s="3821"/>
      <c r="Z44" s="3821"/>
      <c r="AA44" s="3821"/>
      <c r="AB44" s="3821"/>
      <c r="AC44" s="3822"/>
      <c r="AD44" s="3820" t="str">
        <f>INDEX(PT_DIFFERENTIATION_TER,MATCH(B44,PT_DIFFERENTIATION_TER_ID,0))</f>
        <v/>
      </c>
      <c r="AE44" s="3821"/>
      <c r="AF44" s="3821"/>
      <c r="AG44" s="3821"/>
      <c r="AH44" s="3821"/>
      <c r="AI44" s="3821"/>
      <c r="AJ44" s="3821"/>
      <c r="AK44" s="3821"/>
      <c r="AL44" s="3822"/>
      <c r="AM44" s="3823" t="s">
        <v>413</v>
      </c>
      <c r="AP44" s="3479" t="str">
        <f>IF(T44="","",T44)</f>
        <v>Территория действия тарифа</v>
      </c>
      <c r="AS44" s="3432">
        <v>23</v>
      </c>
    </row>
    <row customHeight="1" ht="24">
      <c r="A45" s="3857" t="s">
        <v>173</v>
      </c>
      <c r="B45" s="3857" t="s">
        <v>174</v>
      </c>
      <c r="C45" s="3857" t="s">
        <v>175</v>
      </c>
      <c r="E45" s="3824"/>
      <c r="F45" s="3824"/>
      <c r="G45" s="3817">
        <v>1</v>
      </c>
      <c r="Q45" s="3825"/>
      <c r="R45" s="3826"/>
      <c r="S45" s="3818" t="str">
        <f>INDEX(PT_DIFFERENTIATION_NUM_CS,MATCH(C45,PT_DIFFERENTIATION_CS_ID,0))</f>
        <v>..</v>
      </c>
      <c r="T45" s="3828" t="s">
        <v>414</v>
      </c>
      <c r="U45" s="3819"/>
      <c r="V45" s="3820"/>
      <c r="W45" s="3821"/>
      <c r="X45" s="3821"/>
      <c r="Y45" s="3821"/>
      <c r="Z45" s="3821"/>
      <c r="AA45" s="3821"/>
      <c r="AB45" s="3821"/>
      <c r="AC45" s="3822"/>
      <c r="AD45" s="3820" t="str">
        <f>INDEX(PT_DIFFERENTIATION_CS,MATCH(C45,PT_DIFFERENTIATION_CS_ID,0))</f>
        <v/>
      </c>
      <c r="AE45" s="3821"/>
      <c r="AF45" s="3821"/>
      <c r="AG45" s="3821"/>
      <c r="AH45" s="3821"/>
      <c r="AI45" s="3821"/>
      <c r="AJ45" s="3821"/>
      <c r="AK45" s="3821"/>
      <c r="AL45" s="3822"/>
      <c r="AM45" s="3823" t="s">
        <v>415</v>
      </c>
      <c r="AP45" s="3479" t="str">
        <f>IF(T45="","",T45)</f>
        <v>Наименование системы теплоснабжения </v>
      </c>
      <c r="AS45" s="3432">
        <v>23</v>
      </c>
    </row>
    <row customHeight="1" ht="24">
      <c r="A46" s="3857" t="s">
        <v>173</v>
      </c>
      <c r="B46" s="3857" t="s">
        <v>174</v>
      </c>
      <c r="C46" s="3857" t="s">
        <v>175</v>
      </c>
      <c r="D46" s="3857" t="s">
        <v>176</v>
      </c>
      <c r="E46" s="3824"/>
      <c r="F46" s="3824"/>
      <c r="G46" s="3824"/>
      <c r="H46" s="3817">
        <v>1</v>
      </c>
      <c r="Q46" s="3825"/>
      <c r="R46" s="3826"/>
      <c r="S46" s="3818" t="str">
        <f>INDEX(PT_DIFFERENTIATION_NUM_IST_TE,MATCH(D46,PT_DIFFERENTIATION_IST_TE_ID,0))</f>
        <v>...</v>
      </c>
      <c r="T46" s="3829" t="s">
        <v>416</v>
      </c>
      <c r="U46" s="3819"/>
      <c r="V46" s="3820"/>
      <c r="W46" s="3821"/>
      <c r="X46" s="3821"/>
      <c r="Y46" s="3821"/>
      <c r="Z46" s="3821"/>
      <c r="AA46" s="3821"/>
      <c r="AB46" s="3821"/>
      <c r="AC46" s="3822"/>
      <c r="AD46" s="3820" t="str">
        <f>INDEX(PT_DIFFERENTIATION_IST_TE,MATCH(D46,PT_DIFFERENTIATION_IST_TE_ID,0))</f>
        <v/>
      </c>
      <c r="AE46" s="3821"/>
      <c r="AF46" s="3821"/>
      <c r="AG46" s="3821"/>
      <c r="AH46" s="3821"/>
      <c r="AI46" s="3821"/>
      <c r="AJ46" s="3821"/>
      <c r="AK46" s="3821"/>
      <c r="AL46" s="3822"/>
      <c r="AM46" s="3823" t="s">
        <v>417</v>
      </c>
      <c r="AP46" s="3479" t="str">
        <f>IF(T46="","",T46)</f>
        <v>Источник тепловой энергии  </v>
      </c>
      <c r="AS46" s="3432">
        <v>23</v>
      </c>
    </row>
    <row customHeight="1" ht="49.5">
      <c r="A47" s="3857" t="s">
        <v>173</v>
      </c>
      <c r="B47" s="3857" t="s">
        <v>174</v>
      </c>
      <c r="C47" s="3857" t="s">
        <v>175</v>
      </c>
      <c r="D47" s="3857" t="s">
        <v>176</v>
      </c>
      <c r="E47" s="3824"/>
      <c r="F47" s="3824"/>
      <c r="G47" s="3824"/>
      <c r="H47" s="3824"/>
      <c r="I47" s="3711" t="str">
        <f>S46&amp;".1"</f>
        <v>....1</v>
      </c>
      <c r="L47" s="3830" t="s">
        <v>418</v>
      </c>
      <c r="P47" s="3471">
        <v>1</v>
      </c>
      <c r="R47" s="3831"/>
      <c r="S47" s="3818" t="str">
        <f>$I47</f>
        <v>....1</v>
      </c>
      <c r="T47" s="3832" t="s">
        <v>419</v>
      </c>
      <c r="U47" s="3819"/>
      <c r="V47" s="3638"/>
      <c r="W47" s="3833"/>
      <c r="X47" s="3833"/>
      <c r="Y47" s="3833"/>
      <c r="Z47" s="3833"/>
      <c r="AA47" s="3833"/>
      <c r="AB47" s="3833"/>
      <c r="AC47" s="3834"/>
      <c r="AD47" s="3638"/>
      <c r="AE47" s="3833"/>
      <c r="AF47" s="3833"/>
      <c r="AG47" s="3833"/>
      <c r="AH47" s="3833"/>
      <c r="AI47" s="3833"/>
      <c r="AJ47" s="3833"/>
      <c r="AK47" s="3833"/>
      <c r="AL47" s="3834"/>
      <c r="AM47" s="3823" t="s">
        <v>420</v>
      </c>
      <c r="AP47" s="3479" t="str">
        <f>IF(T47="","",T47)</f>
        <v>Схема подключения теплопотребляющей установки к коллектору источника тепловой энергии</v>
      </c>
      <c r="AS47" s="3432">
        <v>47</v>
      </c>
    </row>
    <row customHeight="1" ht="24">
      <c r="A48" s="3857" t="s">
        <v>173</v>
      </c>
      <c r="B48" s="3857" t="s">
        <v>174</v>
      </c>
      <c r="C48" s="3857" t="s">
        <v>175</v>
      </c>
      <c r="D48" s="3857" t="s">
        <v>176</v>
      </c>
      <c r="E48" s="3824"/>
      <c r="F48" s="3824"/>
      <c r="G48" s="3824"/>
      <c r="H48" s="3824"/>
      <c r="I48" s="3835"/>
      <c r="J48" s="3711" t="str">
        <f>I47&amp;".1"</f>
        <v>....1.1</v>
      </c>
      <c r="L48" s="3830" t="s">
        <v>421</v>
      </c>
      <c r="Q48" s="3471">
        <v>1</v>
      </c>
      <c r="R48" s="3836"/>
      <c r="S48" s="3818" t="str">
        <f>$J48</f>
        <v>....1.1</v>
      </c>
      <c r="T48" s="3837" t="s">
        <v>422</v>
      </c>
      <c r="U48" s="3819"/>
      <c r="V48" s="3638"/>
      <c r="W48" s="3833"/>
      <c r="X48" s="3833"/>
      <c r="Y48" s="3833"/>
      <c r="Z48" s="3833"/>
      <c r="AA48" s="3833"/>
      <c r="AB48" s="3833"/>
      <c r="AC48" s="3834"/>
      <c r="AD48" s="3638"/>
      <c r="AE48" s="3833"/>
      <c r="AF48" s="3833"/>
      <c r="AG48" s="3833"/>
      <c r="AH48" s="3833"/>
      <c r="AI48" s="3833"/>
      <c r="AJ48" s="3833"/>
      <c r="AK48" s="3833"/>
      <c r="AL48" s="3834"/>
      <c r="AM48" s="3823" t="s">
        <v>423</v>
      </c>
      <c r="AP48" s="3479" t="str">
        <f>IF(T48="","",T48)</f>
        <v>Группа потребителей</v>
      </c>
      <c r="AS48" s="3432">
        <v>23</v>
      </c>
    </row>
    <row customHeight="1" ht="24">
      <c r="A49" s="3857" t="s">
        <v>173</v>
      </c>
      <c r="B49" s="3857" t="s">
        <v>174</v>
      </c>
      <c r="C49" s="3857" t="s">
        <v>175</v>
      </c>
      <c r="D49" s="3857" t="s">
        <v>176</v>
      </c>
      <c r="E49" s="3824"/>
      <c r="F49" s="3824"/>
      <c r="G49" s="3824"/>
      <c r="H49" s="3824"/>
      <c r="I49" s="3835"/>
      <c r="J49" s="3835"/>
      <c r="K49" s="3711" t="str">
        <f>J48&amp;".1"</f>
        <v>....1.1.1</v>
      </c>
      <c r="L49" s="3830" t="s">
        <v>424</v>
      </c>
      <c r="R49" s="3836">
        <v>1</v>
      </c>
      <c r="S49" s="3818" t="str">
        <f>$K49</f>
        <v>....1.1.1</v>
      </c>
      <c r="T49" s="3838"/>
      <c r="U49" s="3819"/>
      <c r="V49" s="838"/>
      <c r="W49" s="839"/>
      <c r="X49" s="838"/>
      <c r="Y49" s="840"/>
      <c r="Z49" s="572"/>
      <c r="AA49" s="210" t="s">
        <v>61</v>
      </c>
      <c r="AB49" s="572"/>
      <c r="AC49" s="210" t="s">
        <v>61</v>
      </c>
      <c r="AD49" s="838"/>
      <c r="AE49" s="839"/>
      <c r="AF49" s="838"/>
      <c r="AG49" s="840"/>
      <c r="AH49" s="572"/>
      <c r="AI49" s="210" t="s">
        <v>61</v>
      </c>
      <c r="AJ49" s="881"/>
      <c r="AK49" s="210" t="s">
        <v>61</v>
      </c>
      <c r="AL49" s="882"/>
      <c r="AM49" s="3839" t="s">
        <v>425</v>
      </c>
      <c r="AN49" s="3473">
        <f>STRCHECKDATE(V50:AL50)</f>
      </c>
      <c r="AP49" s="3479" t="str">
        <f>IF(T49="","",T49)</f>
        <v/>
      </c>
      <c r="AS49" s="3432">
        <v>23</v>
      </c>
    </row>
    <row customHeight="1" ht="1.05">
      <c r="A50" s="3857" t="s">
        <v>173</v>
      </c>
      <c r="B50" s="3857" t="s">
        <v>174</v>
      </c>
      <c r="C50" s="3857" t="s">
        <v>175</v>
      </c>
      <c r="D50" s="3857" t="s">
        <v>176</v>
      </c>
      <c r="E50" s="3824"/>
      <c r="F50" s="3824"/>
      <c r="G50" s="3824"/>
      <c r="H50" s="3824"/>
      <c r="I50" s="3835"/>
      <c r="J50" s="3835"/>
      <c r="K50" s="3711"/>
      <c r="R50" s="3836"/>
      <c r="S50" s="421"/>
      <c r="T50" s="3819"/>
      <c r="U50" s="3819"/>
      <c r="V50" s="839"/>
      <c r="W50" s="839"/>
      <c r="X50" s="839"/>
      <c r="Y50" s="842" t="str">
        <f>Z49&amp;"-"&amp;AB49</f>
        <v>-</v>
      </c>
      <c r="Z50" s="573"/>
      <c r="AA50" s="210"/>
      <c r="AB50" s="573"/>
      <c r="AC50" s="210"/>
      <c r="AD50" s="839"/>
      <c r="AE50" s="839"/>
      <c r="AF50" s="839"/>
      <c r="AG50" s="842" t="str">
        <f>AH49&amp;"-"&amp;AJ49</f>
        <v>-</v>
      </c>
      <c r="AH50" s="573"/>
      <c r="AI50" s="210"/>
      <c r="AJ50" s="883"/>
      <c r="AK50" s="210"/>
      <c r="AL50" s="884"/>
      <c r="AM50" s="3840"/>
      <c r="AP50" s="3479" t="str">
        <f>IF(T50="","",T50)</f>
        <v/>
      </c>
      <c r="AS50" s="3432">
        <v>1</v>
      </c>
    </row>
    <row customHeight="1" ht="11.549999999999999">
      <c r="A51" s="3857" t="s">
        <v>173</v>
      </c>
      <c r="B51" s="3857" t="s">
        <v>174</v>
      </c>
      <c r="C51" s="3857" t="s">
        <v>175</v>
      </c>
      <c r="D51" s="3857" t="s">
        <v>176</v>
      </c>
      <c r="E51" s="3824"/>
      <c r="F51" s="3824"/>
      <c r="G51" s="3824"/>
      <c r="H51" s="3824"/>
      <c r="I51" s="3835"/>
      <c r="J51" s="3711"/>
      <c r="R51" s="3831"/>
      <c r="S51" s="844"/>
      <c r="T51" s="845" t="s">
        <v>426</v>
      </c>
      <c r="U51" s="200"/>
      <c r="V51" s="200"/>
      <c r="W51" s="200"/>
      <c r="X51" s="200"/>
      <c r="Y51" s="200"/>
      <c r="Z51" s="200"/>
      <c r="AA51" s="200"/>
      <c r="AB51" s="200"/>
      <c r="AC51" s="200"/>
      <c r="AD51" s="200"/>
      <c r="AE51" s="200"/>
      <c r="AF51" s="200"/>
      <c r="AG51" s="200"/>
      <c r="AH51" s="200"/>
      <c r="AI51" s="200"/>
      <c r="AJ51" s="200"/>
      <c r="AK51" s="200"/>
      <c r="AL51" s="846"/>
      <c r="AM51" s="3841"/>
      <c r="AP51" s="3479" t="str">
        <f>IF(T51="","",T51)</f>
        <v>Добавить вид теплоносителя (параметры теплоносителя)</v>
      </c>
      <c r="AS51" s="3432">
        <v>11</v>
      </c>
    </row>
    <row customHeight="1" ht="11.549999999999999">
      <c r="A52" s="3857" t="s">
        <v>173</v>
      </c>
      <c r="B52" s="3857" t="s">
        <v>174</v>
      </c>
      <c r="C52" s="3857" t="s">
        <v>175</v>
      </c>
      <c r="D52" s="3857" t="s">
        <v>176</v>
      </c>
      <c r="E52" s="3824"/>
      <c r="F52" s="3824"/>
      <c r="G52" s="3824"/>
      <c r="H52" s="3824"/>
      <c r="I52" s="3711"/>
      <c r="R52" s="3831"/>
      <c r="S52" s="844"/>
      <c r="T52" s="848" t="s">
        <v>427</v>
      </c>
      <c r="U52" s="200"/>
      <c r="V52" s="200"/>
      <c r="W52" s="200"/>
      <c r="X52" s="200"/>
      <c r="Y52" s="200"/>
      <c r="Z52" s="200"/>
      <c r="AA52" s="200"/>
      <c r="AB52" s="200"/>
      <c r="AC52" s="849"/>
      <c r="AD52" s="200"/>
      <c r="AE52" s="200"/>
      <c r="AF52" s="200"/>
      <c r="AG52" s="200"/>
      <c r="AH52" s="200"/>
      <c r="AI52" s="200"/>
      <c r="AJ52" s="200"/>
      <c r="AK52" s="849"/>
      <c r="AL52" s="200"/>
      <c r="AM52" s="850"/>
      <c r="AP52" s="3479" t="str">
        <f>IF(T52="","",T52)</f>
        <v>Добавить группу потребителей</v>
      </c>
      <c r="AS52" s="3432">
        <v>11</v>
      </c>
    </row>
    <row customHeight="1" ht="14.699999999999998">
      <c r="A53" s="3857" t="s">
        <v>173</v>
      </c>
      <c r="B53" s="3857" t="s">
        <v>174</v>
      </c>
      <c r="C53" s="3857" t="s">
        <v>175</v>
      </c>
      <c r="D53" s="3857" t="s">
        <v>176</v>
      </c>
      <c r="E53" s="3824"/>
      <c r="F53" s="3824"/>
      <c r="G53" s="3824"/>
      <c r="H53" s="3817"/>
      <c r="R53" s="816"/>
      <c r="S53" s="844"/>
      <c r="T53" s="851" t="s">
        <v>428</v>
      </c>
      <c r="U53" s="200"/>
      <c r="V53" s="200"/>
      <c r="W53" s="200"/>
      <c r="X53" s="200"/>
      <c r="Y53" s="200"/>
      <c r="Z53" s="200"/>
      <c r="AA53" s="200"/>
      <c r="AB53" s="200"/>
      <c r="AC53" s="849"/>
      <c r="AD53" s="200"/>
      <c r="AE53" s="200"/>
      <c r="AF53" s="200"/>
      <c r="AG53" s="200"/>
      <c r="AH53" s="200"/>
      <c r="AI53" s="200"/>
      <c r="AJ53" s="200"/>
      <c r="AK53" s="849"/>
      <c r="AL53" s="200"/>
      <c r="AM53" s="850"/>
      <c r="AP53" s="3479" t="str">
        <f>IF(T53="","",T53)</f>
        <v>Добавить схему подключения</v>
      </c>
      <c r="AS53" s="3432">
        <v>14</v>
      </c>
    </row>
    <row customHeight="1" ht="1.05">
      <c r="A54" s="3470" t="s">
        <v>173</v>
      </c>
      <c r="B54" s="3470" t="s">
        <v>174</v>
      </c>
      <c r="C54" s="3470" t="s">
        <v>175</v>
      </c>
      <c r="E54" s="3824"/>
      <c r="F54" s="3824"/>
      <c r="G54" s="3817"/>
      <c r="T54" s="856" t="s">
        <v>429</v>
      </c>
      <c r="AP54" s="3479" t="str">
        <f>IF(T54="","",T54)</f>
        <v>Добавить источник для дифференциации</v>
      </c>
      <c r="AS54" s="3473">
        <v>1</v>
      </c>
    </row>
    <row customHeight="1" ht="1.05">
      <c r="A55" s="3470" t="s">
        <v>173</v>
      </c>
      <c r="B55" s="3470" t="s">
        <v>174</v>
      </c>
      <c r="E55" s="3824"/>
      <c r="F55" s="3817"/>
      <c r="T55" s="856" t="s">
        <v>430</v>
      </c>
      <c r="AP55" s="3479" t="str">
        <f>IF(T55="","",T55)</f>
        <v>Добавить централизованную систему для дифференциации</v>
      </c>
      <c r="AS55" s="3473">
        <v>1</v>
      </c>
    </row>
    <row customHeight="1" ht="1.05">
      <c r="A56" s="3470" t="s">
        <v>173</v>
      </c>
      <c r="E56" s="3817"/>
      <c r="T56" s="856" t="s">
        <v>431</v>
      </c>
      <c r="AP56" s="3479" t="str">
        <f>IF(T56="","",T56)</f>
        <v>Добавить территорию для дифференциации</v>
      </c>
      <c r="AS56" s="3473">
        <v>1</v>
      </c>
    </row>
    <row customHeight="1" ht="1.05">
      <c r="T57" s="856" t="s">
        <v>463</v>
      </c>
      <c r="AP57" s="3479" t="str">
        <f>IF(T57="","",T57)</f>
        <v>Добавить наименование тарифа</v>
      </c>
      <c r="AS57" s="3473">
        <v>1</v>
      </c>
    </row>
    <row customHeight="1" ht="11.549999999999999">
      <c r="AS58" s="3432">
        <v>11</v>
      </c>
    </row>
    <row customHeight="1" ht="28.5">
      <c r="AS59" s="3432">
        <v>27</v>
      </c>
    </row>
    <row customHeight="1" ht="67.2">
      <c r="AS60" s="3432">
        <v>64</v>
      </c>
    </row>
    <row customHeight="1" ht="14.699999999999998">
      <c r="AS61" s="3432">
        <v>14</v>
      </c>
    </row>
    <row customHeight="1" ht="18.75">
      <c r="AS62" s="3432">
        <v>18</v>
      </c>
    </row>
    <row customHeight="1" ht="18.75">
      <c r="AS63" s="3432">
        <v>18</v>
      </c>
    </row>
    <row customHeight="1" ht="29.25">
      <c r="AS64" s="3432">
        <v>28</v>
      </c>
    </row>
    <row customHeight="1" ht="22.5" hidden="1">
      <c r="A65" s="3449" t="s">
        <v>80</v>
      </c>
      <c r="B65" s="3449">
        <v>0</v>
      </c>
      <c r="C65" s="3449">
        <v>0</v>
      </c>
      <c r="D65" s="3449">
        <v>0</v>
      </c>
      <c r="E65" s="3449">
        <v>0</v>
      </c>
      <c r="F65" s="3449">
        <v>0</v>
      </c>
      <c r="G65" s="3449">
        <v>0</v>
      </c>
      <c r="H65" s="3449">
        <v>0</v>
      </c>
      <c r="I65" s="3449">
        <v>0</v>
      </c>
      <c r="J65" s="3449">
        <v>0</v>
      </c>
      <c r="K65" s="3449">
        <v>0</v>
      </c>
      <c r="L65" s="3618">
        <v>0</v>
      </c>
      <c r="M65" s="105">
        <v>0</v>
      </c>
      <c r="N65" s="105">
        <v>0</v>
      </c>
      <c r="O65" s="105">
        <v>0</v>
      </c>
      <c r="P65" s="782">
        <v>3</v>
      </c>
      <c r="Q65" s="3797">
        <v>3</v>
      </c>
      <c r="R65" s="3797">
        <v>3</v>
      </c>
      <c r="S65" s="3447">
        <v>12</v>
      </c>
      <c r="T65" s="3432">
        <v>35</v>
      </c>
      <c r="U65" s="3432">
        <v>0</v>
      </c>
      <c r="V65" s="3432">
        <v>0</v>
      </c>
      <c r="W65" s="3432">
        <v>0</v>
      </c>
      <c r="X65" s="3432">
        <v>0</v>
      </c>
      <c r="Y65" s="3432">
        <v>0</v>
      </c>
      <c r="Z65" s="3432">
        <v>0</v>
      </c>
      <c r="AA65" s="3432">
        <v>0</v>
      </c>
      <c r="AB65" s="3432">
        <v>0</v>
      </c>
      <c r="AC65" s="3432">
        <v>0</v>
      </c>
      <c r="AD65" s="3432">
        <v>24</v>
      </c>
      <c r="AE65" s="3432">
        <v>0</v>
      </c>
      <c r="AF65" s="3432">
        <v>24</v>
      </c>
      <c r="AG65" s="3432">
        <v>24</v>
      </c>
      <c r="AH65" s="3432">
        <v>11</v>
      </c>
      <c r="AI65" s="3432">
        <v>3</v>
      </c>
      <c r="AJ65" s="3432">
        <v>11</v>
      </c>
      <c r="AK65" s="3432">
        <v>0</v>
      </c>
      <c r="AL65" s="3432">
        <v>4</v>
      </c>
      <c r="AM65" s="3432">
        <v>115</v>
      </c>
      <c r="AN65" s="3473">
        <v>10</v>
      </c>
      <c r="AO65" s="3473">
        <v>10</v>
      </c>
      <c r="AP65" s="3473">
        <v>10</v>
      </c>
      <c r="AQ65" s="3473">
        <v>10</v>
      </c>
      <c r="AR65" s="3473">
        <v>10</v>
      </c>
      <c r="AS65" s="343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06FE1-446B-6306-5E0A-77691E5322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1.00390625" customWidth="1"/>
    <col min="21" max="21" style="7348" width="0.140625" customWidth="1"/>
    <col min="22" max="22" style="7348" width="24.7109375" hidden="1" customWidth="1"/>
    <col min="23" max="23" style="7348" width="0.140625" hidden="1" customWidth="1"/>
    <col min="24" max="25" style="7348" width="24.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24.7109375" customWidth="1"/>
    <col min="31" max="31" style="7348" width="0.140625" customWidth="1"/>
    <col min="32" max="33" style="7348" width="24.00390625" customWidth="1"/>
    <col min="34" max="34" style="7348" width="11.00390625" customWidth="1"/>
    <col min="35" max="35" style="7348" width="3.7109375" customWidth="1"/>
    <col min="36" max="36" style="7348" width="11.00390625" customWidth="1"/>
    <col min="37" max="37" style="7348" width="8.57421875" hidden="1" customWidth="1"/>
    <col min="38" max="38" style="7348" width="4.00390625" customWidth="1"/>
    <col min="39" max="39" style="7348" width="115.00390625" customWidth="1"/>
    <col min="40" max="44" style="7348" width="10.00390625" customWidth="1"/>
    <col min="45" max="45" style="7348" width="10.57421875" hidden="1"/>
  </cols>
  <sheetData>
    <row customHeight="1" ht="22.5" hidden="1">
      <c r="AS1" s="3432" t="s">
        <v>14</v>
      </c>
    </row>
    <row customHeight="1" ht="21" hidden="1">
      <c r="E2" s="3817">
        <v>1</v>
      </c>
      <c r="R2" s="816"/>
      <c r="S2" s="3818">
        <f>INDEX(PT_DIFFERENTIATION_NUM_NTAR,MATCH(A2,PT_DIFFERENTIATION_NTAR_ID,0))</f>
      </c>
      <c r="T2" s="3764" t="s">
        <v>141</v>
      </c>
      <c r="U2" s="3819"/>
      <c r="V2" s="3820"/>
      <c r="W2" s="3821"/>
      <c r="X2" s="3821"/>
      <c r="Y2" s="3821"/>
      <c r="Z2" s="3821"/>
      <c r="AA2" s="3821"/>
      <c r="AB2" s="3821"/>
      <c r="AC2" s="3822"/>
      <c r="AD2" s="3820">
        <f>INDEX(PT_DIFFERENTIATION_NTAR,MATCH(A2,PT_DIFFERENTIATION_NTAR_ID,0))</f>
      </c>
      <c r="AE2" s="3821"/>
      <c r="AF2" s="3821"/>
      <c r="AG2" s="3821"/>
      <c r="AH2" s="3821"/>
      <c r="AI2" s="3821"/>
      <c r="AJ2" s="3821"/>
      <c r="AK2" s="3821"/>
      <c r="AL2" s="3822"/>
      <c r="AM2" s="3823" t="s">
        <v>411</v>
      </c>
      <c r="AP2" s="3479" t="str">
        <f>IF(T2="","",T2)</f>
        <v>Наименование тарифа</v>
      </c>
      <c r="AS2" s="3432">
        <v>0</v>
      </c>
    </row>
    <row customHeight="1" ht="21" hidden="1">
      <c r="E3" s="3824"/>
      <c r="F3" s="3817">
        <v>1</v>
      </c>
      <c r="Q3" s="3825"/>
      <c r="R3" s="3826"/>
      <c r="S3" s="3818">
        <f>INDEX(PT_DIFFERENTIATION_NUM_TER,MATCH(B3,PT_DIFFERENTIATION_TER_ID,0))</f>
      </c>
      <c r="T3" s="3827" t="s">
        <v>412</v>
      </c>
      <c r="U3" s="3819"/>
      <c r="V3" s="3820"/>
      <c r="W3" s="3821"/>
      <c r="X3" s="3821"/>
      <c r="Y3" s="3821"/>
      <c r="Z3" s="3821"/>
      <c r="AA3" s="3821"/>
      <c r="AB3" s="3821"/>
      <c r="AC3" s="3822"/>
      <c r="AD3" s="3820">
        <f>INDEX(PT_DIFFERENTIATION_TER,MATCH(B3,PT_DIFFERENTIATION_TER_ID,0))</f>
      </c>
      <c r="AE3" s="3821"/>
      <c r="AF3" s="3821"/>
      <c r="AG3" s="3821"/>
      <c r="AH3" s="3821"/>
      <c r="AI3" s="3821"/>
      <c r="AJ3" s="3821"/>
      <c r="AK3" s="3821"/>
      <c r="AL3" s="3822"/>
      <c r="AM3" s="3823" t="s">
        <v>413</v>
      </c>
      <c r="AP3" s="3479" t="str">
        <f>IF(T3="","",T3)</f>
        <v>Территория действия тарифа</v>
      </c>
      <c r="AS3" s="3432">
        <v>0</v>
      </c>
    </row>
    <row customHeight="1" ht="23.25" hidden="1">
      <c r="E4" s="3824"/>
      <c r="F4" s="3824"/>
      <c r="G4" s="3817">
        <v>1</v>
      </c>
      <c r="Q4" s="3825"/>
      <c r="R4" s="3826"/>
      <c r="S4" s="3818">
        <f>INDEX(PT_DIFFERENTIATION_NUM_CS,MATCH(C4,PT_DIFFERENTIATION_CS_ID,0))</f>
      </c>
      <c r="T4" s="3828" t="s">
        <v>414</v>
      </c>
      <c r="U4" s="3819"/>
      <c r="V4" s="3820"/>
      <c r="W4" s="3821"/>
      <c r="X4" s="3821"/>
      <c r="Y4" s="3821"/>
      <c r="Z4" s="3821"/>
      <c r="AA4" s="3821"/>
      <c r="AB4" s="3821"/>
      <c r="AC4" s="3822"/>
      <c r="AD4" s="3820">
        <f>INDEX(PT_DIFFERENTIATION_CS,MATCH(C4,PT_DIFFERENTIATION_CS_ID,0))</f>
      </c>
      <c r="AE4" s="3821"/>
      <c r="AF4" s="3821"/>
      <c r="AG4" s="3821"/>
      <c r="AH4" s="3821"/>
      <c r="AI4" s="3821"/>
      <c r="AJ4" s="3821"/>
      <c r="AK4" s="3821"/>
      <c r="AL4" s="3822"/>
      <c r="AM4" s="3823" t="s">
        <v>415</v>
      </c>
      <c r="AP4" s="3479" t="str">
        <f>IF(T4="","",T4)</f>
        <v>Наименование системы теплоснабжения </v>
      </c>
      <c r="AS4" s="3432">
        <v>0</v>
      </c>
    </row>
    <row customHeight="1" ht="21" hidden="1">
      <c r="E5" s="3824"/>
      <c r="F5" s="3824"/>
      <c r="G5" s="3824"/>
      <c r="H5" s="3817">
        <v>1</v>
      </c>
      <c r="Q5" s="3825"/>
      <c r="R5" s="3826"/>
      <c r="S5" s="3818">
        <f>INDEX(PT_DIFFERENTIATION_NUM_IST_TE,MATCH(D5,PT_DIFFERENTIATION_IST_TE_ID,0))</f>
      </c>
      <c r="T5" s="3829" t="s">
        <v>416</v>
      </c>
      <c r="U5" s="3819"/>
      <c r="V5" s="3820"/>
      <c r="W5" s="3821"/>
      <c r="X5" s="3821"/>
      <c r="Y5" s="3821"/>
      <c r="Z5" s="3821"/>
      <c r="AA5" s="3821"/>
      <c r="AB5" s="3821"/>
      <c r="AC5" s="3822"/>
      <c r="AD5" s="3820">
        <f>INDEX(PT_DIFFERENTIATION_IST_TE,MATCH(D5,PT_DIFFERENTIATION_IST_TE_ID,0))</f>
      </c>
      <c r="AE5" s="3821"/>
      <c r="AF5" s="3821"/>
      <c r="AG5" s="3821"/>
      <c r="AH5" s="3821"/>
      <c r="AI5" s="3821"/>
      <c r="AJ5" s="3821"/>
      <c r="AK5" s="3821"/>
      <c r="AL5" s="3822"/>
      <c r="AM5" s="3823" t="s">
        <v>417</v>
      </c>
      <c r="AP5" s="3479" t="str">
        <f>IF(T5="","",T5)</f>
        <v>Источник тепловой энергии  </v>
      </c>
      <c r="AS5" s="3432">
        <v>0</v>
      </c>
    </row>
    <row customHeight="1" ht="47.25" hidden="1">
      <c r="E6" s="3824"/>
      <c r="F6" s="3824"/>
      <c r="G6" s="3824"/>
      <c r="H6" s="3824"/>
      <c r="I6" s="3711">
        <f>S5&amp;".1"</f>
      </c>
      <c r="L6" s="3830" t="s">
        <v>418</v>
      </c>
      <c r="P6" s="3471">
        <v>1</v>
      </c>
      <c r="R6" s="3831"/>
      <c r="S6" s="3818">
        <f>$I6</f>
      </c>
      <c r="T6" s="3832" t="s">
        <v>419</v>
      </c>
      <c r="U6" s="3819"/>
      <c r="V6" s="3638"/>
      <c r="W6" s="3833"/>
      <c r="X6" s="3833"/>
      <c r="Y6" s="3833"/>
      <c r="Z6" s="3833"/>
      <c r="AA6" s="3833"/>
      <c r="AB6" s="3833"/>
      <c r="AC6" s="3834"/>
      <c r="AD6" s="3638"/>
      <c r="AE6" s="3833"/>
      <c r="AF6" s="3833"/>
      <c r="AG6" s="3833"/>
      <c r="AH6" s="3833"/>
      <c r="AI6" s="3833"/>
      <c r="AJ6" s="3833"/>
      <c r="AK6" s="3833"/>
      <c r="AL6" s="3834"/>
      <c r="AM6" s="3823" t="s">
        <v>420</v>
      </c>
      <c r="AP6" s="3479" t="str">
        <f>IF(T6="","",T6)</f>
        <v>Схема подключения теплопотребляющей установки к коллектору источника тепловой энергии</v>
      </c>
      <c r="AS6" s="3432">
        <v>0</v>
      </c>
    </row>
    <row customHeight="1" ht="21" hidden="1">
      <c r="E7" s="3824"/>
      <c r="F7" s="3824"/>
      <c r="G7" s="3824"/>
      <c r="H7" s="3824"/>
      <c r="I7" s="3835"/>
      <c r="J7" s="3711">
        <f>I6&amp;".1"</f>
      </c>
      <c r="L7" s="3830" t="s">
        <v>421</v>
      </c>
      <c r="Q7" s="3471">
        <v>1</v>
      </c>
      <c r="R7" s="3836"/>
      <c r="S7" s="3818">
        <f>$J7</f>
      </c>
      <c r="T7" s="3837" t="s">
        <v>422</v>
      </c>
      <c r="U7" s="3819"/>
      <c r="V7" s="3638"/>
      <c r="W7" s="3833"/>
      <c r="X7" s="3833"/>
      <c r="Y7" s="3833"/>
      <c r="Z7" s="3833"/>
      <c r="AA7" s="3833"/>
      <c r="AB7" s="3833"/>
      <c r="AC7" s="3834"/>
      <c r="AD7" s="3638"/>
      <c r="AE7" s="3833"/>
      <c r="AF7" s="3833"/>
      <c r="AG7" s="3833"/>
      <c r="AH7" s="3833"/>
      <c r="AI7" s="3833"/>
      <c r="AJ7" s="3833"/>
      <c r="AK7" s="3833"/>
      <c r="AL7" s="3834"/>
      <c r="AM7" s="3823" t="s">
        <v>423</v>
      </c>
      <c r="AP7" s="3479" t="str">
        <f>IF(T7="","",T7)</f>
        <v>Группа потребителей</v>
      </c>
      <c r="AS7" s="3432">
        <v>0</v>
      </c>
    </row>
    <row customHeight="1" ht="21" hidden="1">
      <c r="E8" s="3824"/>
      <c r="F8" s="3824"/>
      <c r="G8" s="3824"/>
      <c r="H8" s="3824"/>
      <c r="I8" s="3835"/>
      <c r="J8" s="3835"/>
      <c r="K8" s="3711">
        <f>J7&amp;".1"</f>
      </c>
      <c r="L8" s="3830" t="s">
        <v>424</v>
      </c>
      <c r="R8" s="3836">
        <v>1</v>
      </c>
      <c r="S8" s="3818">
        <f>$K8</f>
      </c>
      <c r="T8" s="3838"/>
      <c r="U8" s="3819"/>
      <c r="V8" s="838"/>
      <c r="W8" s="839"/>
      <c r="X8" s="838"/>
      <c r="Y8" s="840"/>
      <c r="Z8" s="572"/>
      <c r="AA8" s="210" t="s">
        <v>61</v>
      </c>
      <c r="AB8" s="572"/>
      <c r="AC8" s="210" t="s">
        <v>61</v>
      </c>
      <c r="AD8" s="838"/>
      <c r="AE8" s="839"/>
      <c r="AF8" s="838"/>
      <c r="AG8" s="840"/>
      <c r="AH8" s="572"/>
      <c r="AI8" s="210" t="s">
        <v>61</v>
      </c>
      <c r="AJ8" s="572"/>
      <c r="AK8" s="210" t="s">
        <v>61</v>
      </c>
      <c r="AL8" s="839"/>
      <c r="AM8" s="3839" t="s">
        <v>425</v>
      </c>
      <c r="AN8" s="3473">
        <f>STRCHECKDATE(V9:AL9)</f>
      </c>
      <c r="AP8" s="3479" t="str">
        <f>IF(T8="","",T8)</f>
        <v/>
      </c>
      <c r="AS8" s="3432">
        <v>0</v>
      </c>
    </row>
    <row customHeight="1" ht="0.75" hidden="1">
      <c r="E9" s="3824"/>
      <c r="F9" s="3824"/>
      <c r="G9" s="3824"/>
      <c r="H9" s="3824"/>
      <c r="I9" s="3835"/>
      <c r="J9" s="3835"/>
      <c r="K9" s="3711"/>
      <c r="R9" s="3836"/>
      <c r="S9" s="421"/>
      <c r="T9" s="3819"/>
      <c r="U9" s="3819"/>
      <c r="V9" s="839"/>
      <c r="W9" s="839"/>
      <c r="X9" s="839"/>
      <c r="Y9" s="842" t="str">
        <f>Z8&amp;"-"&amp;AB8</f>
        <v>-</v>
      </c>
      <c r="Z9" s="573"/>
      <c r="AA9" s="210"/>
      <c r="AB9" s="573"/>
      <c r="AC9" s="210"/>
      <c r="AD9" s="839"/>
      <c r="AE9" s="839"/>
      <c r="AF9" s="839"/>
      <c r="AG9" s="842" t="str">
        <f>AH8&amp;"-"&amp;AJ8</f>
        <v>-</v>
      </c>
      <c r="AH9" s="573"/>
      <c r="AI9" s="210"/>
      <c r="AJ9" s="573"/>
      <c r="AK9" s="210"/>
      <c r="AL9" s="839"/>
      <c r="AM9" s="3840"/>
      <c r="AP9" s="3479" t="str">
        <f>IF(T9="","",T9)</f>
        <v/>
      </c>
      <c r="AS9" s="3432">
        <v>0</v>
      </c>
    </row>
    <row customHeight="1" ht="15" hidden="1">
      <c r="E10" s="3824"/>
      <c r="F10" s="3824"/>
      <c r="G10" s="3824"/>
      <c r="H10" s="3824"/>
      <c r="I10" s="3835"/>
      <c r="J10" s="3711"/>
      <c r="R10" s="3831"/>
      <c r="S10" s="844"/>
      <c r="T10" s="845" t="s">
        <v>426</v>
      </c>
      <c r="U10" s="200"/>
      <c r="V10" s="200"/>
      <c r="W10" s="200"/>
      <c r="X10" s="200"/>
      <c r="Y10" s="200"/>
      <c r="Z10" s="200"/>
      <c r="AA10" s="200"/>
      <c r="AB10" s="200"/>
      <c r="AC10" s="200"/>
      <c r="AD10" s="200"/>
      <c r="AE10" s="200"/>
      <c r="AF10" s="200"/>
      <c r="AG10" s="200"/>
      <c r="AH10" s="200"/>
      <c r="AI10" s="200"/>
      <c r="AJ10" s="200"/>
      <c r="AK10" s="200"/>
      <c r="AL10" s="846"/>
      <c r="AM10" s="3841"/>
      <c r="AP10" s="3479" t="str">
        <f>IF(T10="","",T10)</f>
        <v>Добавить вид теплоносителя (параметры теплоносителя)</v>
      </c>
      <c r="AS10" s="3432">
        <v>0</v>
      </c>
    </row>
    <row customHeight="1" ht="15" hidden="1">
      <c r="E11" s="3824"/>
      <c r="F11" s="3824"/>
      <c r="G11" s="3824"/>
      <c r="H11" s="3824"/>
      <c r="I11" s="3711"/>
      <c r="R11" s="3831"/>
      <c r="S11" s="844"/>
      <c r="T11" s="848" t="s">
        <v>427</v>
      </c>
      <c r="U11" s="200"/>
      <c r="V11" s="200"/>
      <c r="W11" s="200"/>
      <c r="X11" s="200"/>
      <c r="Y11" s="200"/>
      <c r="Z11" s="200"/>
      <c r="AA11" s="200"/>
      <c r="AB11" s="200"/>
      <c r="AC11" s="849"/>
      <c r="AD11" s="200"/>
      <c r="AE11" s="200"/>
      <c r="AF11" s="200"/>
      <c r="AG11" s="200"/>
      <c r="AH11" s="200"/>
      <c r="AI11" s="200"/>
      <c r="AJ11" s="200"/>
      <c r="AK11" s="849"/>
      <c r="AL11" s="200"/>
      <c r="AM11" s="850"/>
      <c r="AP11" s="3479" t="str">
        <f>IF(T11="","",T11)</f>
        <v>Добавить группу потребителей</v>
      </c>
      <c r="AS11" s="3432">
        <v>0</v>
      </c>
    </row>
    <row customHeight="1" ht="14.25" hidden="1">
      <c r="E12" s="3824"/>
      <c r="F12" s="3824"/>
      <c r="G12" s="3824"/>
      <c r="H12" s="3817"/>
      <c r="R12" s="816"/>
      <c r="S12" s="844"/>
      <c r="T12" s="851" t="s">
        <v>428</v>
      </c>
      <c r="U12" s="200"/>
      <c r="V12" s="200"/>
      <c r="W12" s="200"/>
      <c r="X12" s="200"/>
      <c r="Y12" s="200"/>
      <c r="Z12" s="200"/>
      <c r="AA12" s="200"/>
      <c r="AB12" s="200"/>
      <c r="AC12" s="849"/>
      <c r="AD12" s="200"/>
      <c r="AE12" s="200"/>
      <c r="AF12" s="200"/>
      <c r="AG12" s="200"/>
      <c r="AH12" s="200"/>
      <c r="AI12" s="200"/>
      <c r="AJ12" s="200"/>
      <c r="AK12" s="849"/>
      <c r="AL12" s="200"/>
      <c r="AM12" s="850"/>
      <c r="AP12" s="3479" t="str">
        <f>IF(T12="","",T12)</f>
        <v>Добавить схему подключения</v>
      </c>
      <c r="AS12" s="3432">
        <v>0</v>
      </c>
    </row>
    <row customHeight="1" ht="0.75" hidden="1">
      <c r="E13" s="3824"/>
      <c r="F13" s="3824"/>
      <c r="G13" s="3817"/>
      <c r="S13" s="852"/>
      <c r="T13" s="853" t="s">
        <v>429</v>
      </c>
      <c r="U13" s="854"/>
      <c r="V13" s="854"/>
      <c r="W13" s="854"/>
      <c r="X13" s="854"/>
      <c r="Y13" s="854"/>
      <c r="Z13" s="854"/>
      <c r="AA13" s="854"/>
      <c r="AB13" s="854"/>
      <c r="AC13" s="854"/>
      <c r="AD13" s="854"/>
      <c r="AE13" s="854"/>
      <c r="AF13" s="854"/>
      <c r="AG13" s="854"/>
      <c r="AH13" s="854"/>
      <c r="AI13" s="854"/>
      <c r="AJ13" s="854"/>
      <c r="AK13" s="854"/>
      <c r="AL13" s="854"/>
      <c r="AM13" s="854"/>
      <c r="AP13" s="3479" t="str">
        <f>IF(T13="","",T13)</f>
        <v>Добавить источник для дифференциации</v>
      </c>
      <c r="AS13" s="3473">
        <v>0</v>
      </c>
    </row>
    <row customHeight="1" ht="0.75" hidden="1">
      <c r="E14" s="3824"/>
      <c r="F14" s="3817"/>
      <c r="T14" s="855" t="s">
        <v>430</v>
      </c>
      <c r="AP14" s="3479" t="str">
        <f>IF(T14="","",T14)</f>
        <v>Добавить централизованную систему для дифференциации</v>
      </c>
      <c r="AS14" s="3473">
        <v>0</v>
      </c>
    </row>
    <row customHeight="1" ht="0.75" hidden="1">
      <c r="E15" s="3817"/>
      <c r="T15" s="856" t="s">
        <v>431</v>
      </c>
      <c r="AP15" s="3479" t="str">
        <f>IF(T15="","",T15)</f>
        <v>Добавить территорию для дифференциации</v>
      </c>
      <c r="AS15" s="3473">
        <v>0</v>
      </c>
    </row>
    <row customHeight="1" ht="14.25" hidden="1">
      <c r="AS16" s="3432">
        <v>0</v>
      </c>
    </row>
    <row customHeight="1" ht="14.25" hidden="1">
      <c r="AD17" s="719"/>
      <c r="AE17" s="719"/>
      <c r="AF17" s="719"/>
      <c r="AG17" s="857"/>
      <c r="AH17" s="858"/>
      <c r="AI17" s="616" t="s">
        <v>61</v>
      </c>
      <c r="AJ17" s="858"/>
      <c r="AK17" s="616" t="s">
        <v>61</v>
      </c>
      <c r="AS17" s="3432">
        <v>0</v>
      </c>
    </row>
    <row customHeight="1" ht="14.25" hidden="1">
      <c r="AD18" s="719"/>
      <c r="AE18" s="719"/>
      <c r="AF18" s="719"/>
      <c r="AG18" s="842" t="str">
        <f>AH17&amp;"-"&amp;AJ17</f>
        <v>-</v>
      </c>
      <c r="AH18" s="616"/>
      <c r="AI18" s="616"/>
      <c r="AJ18" s="616"/>
      <c r="AK18" s="616"/>
      <c r="AS18" s="3432">
        <v>0</v>
      </c>
    </row>
    <row customHeight="1" ht="14.25" hidden="1">
      <c r="AS19" s="3432">
        <v>0</v>
      </c>
    </row>
    <row customHeight="1" ht="22.5" hidden="1">
      <c r="O20" s="859" t="s">
        <v>432</v>
      </c>
      <c r="Z20" s="859"/>
      <c r="AB20" s="859"/>
      <c r="AH20" s="859"/>
      <c r="AJ20" s="859"/>
      <c r="AS20" s="3449">
        <v>0</v>
      </c>
    </row>
    <row customHeight="1" ht="14.25" hidden="1">
      <c r="AS21" s="3449">
        <v>0</v>
      </c>
    </row>
    <row customHeight="1" ht="14.25" hidden="1">
      <c r="O22" s="3830" t="s">
        <v>433</v>
      </c>
      <c r="T22" s="3449" t="s">
        <v>434</v>
      </c>
      <c r="AA22" s="3511" t="s">
        <v>435</v>
      </c>
      <c r="AC22" s="3511" t="s">
        <v>436</v>
      </c>
      <c r="AD22" s="3449" t="s">
        <v>434</v>
      </c>
      <c r="AI22" s="3511" t="s">
        <v>437</v>
      </c>
      <c r="AK22" s="3511" t="s">
        <v>436</v>
      </c>
      <c r="AS22" s="3449">
        <v>0</v>
      </c>
    </row>
    <row customHeight="1" ht="14.25" hidden="1">
      <c r="AS23" s="3432">
        <v>0</v>
      </c>
    </row>
    <row customHeight="1" ht="14.25" hidden="1">
      <c r="AS24" s="3432">
        <v>0</v>
      </c>
    </row>
    <row customHeight="1" ht="14.699999999999998">
      <c r="Q25" s="3719"/>
      <c r="R25" s="3719"/>
      <c r="S25" s="3842"/>
      <c r="T25" s="3450"/>
      <c r="U25" s="3450"/>
      <c r="AS25" s="3432">
        <v>14</v>
      </c>
    </row>
    <row customHeight="1" ht="14.699999999999998">
      <c r="Q26" s="3719"/>
      <c r="R26" s="3719"/>
      <c r="S26" s="3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46"/>
      <c r="U26" s="3646"/>
      <c r="V26" s="3646"/>
      <c r="W26" s="3646"/>
      <c r="X26" s="3646"/>
      <c r="Y26" s="3646"/>
      <c r="Z26" s="3646"/>
      <c r="AA26" s="3646"/>
      <c r="AB26" s="3646"/>
      <c r="AC26" s="3646"/>
      <c r="AD26" s="3646"/>
      <c r="AE26" s="3646"/>
      <c r="AF26" s="3646"/>
      <c r="AG26" s="3646"/>
      <c r="AH26" s="3646"/>
      <c r="AI26" s="3646"/>
      <c r="AJ26" s="3646"/>
      <c r="AS26" s="3432">
        <v>14</v>
      </c>
    </row>
    <row customHeight="1" ht="14.699999999999998">
      <c r="Q27" s="3719"/>
      <c r="R27" s="3719"/>
      <c r="S27" s="3554" t="str">
        <f>IF(org=0,"Не определено",org)</f>
        <v>ООО "ТеплоЭлектроГенерирующая Компания"</v>
      </c>
      <c r="T27" s="3554"/>
      <c r="U27" s="3554"/>
      <c r="V27" s="3554"/>
      <c r="W27" s="3554"/>
      <c r="X27" s="3554"/>
      <c r="Y27" s="3554"/>
      <c r="Z27" s="3554"/>
      <c r="AA27" s="3554"/>
      <c r="AB27" s="3554"/>
      <c r="AC27" s="3554"/>
      <c r="AD27" s="3554"/>
      <c r="AE27" s="3554"/>
      <c r="AF27" s="3554"/>
      <c r="AG27" s="3554"/>
      <c r="AH27" s="3554"/>
      <c r="AI27" s="3554"/>
      <c r="AJ27" s="3554"/>
      <c r="AS27" s="3432">
        <v>14</v>
      </c>
    </row>
    <row customHeight="1" ht="14.25" hidden="1">
      <c r="Q28" s="3719"/>
      <c r="R28" s="3719"/>
      <c r="S28" s="3842"/>
      <c r="T28" s="3450"/>
      <c r="U28" s="3450"/>
      <c r="V28" s="3804"/>
      <c r="W28" s="3804"/>
      <c r="X28" s="3804"/>
      <c r="Y28" s="3804"/>
      <c r="Z28" s="3804"/>
      <c r="AA28" s="3804"/>
      <c r="AB28" s="3804"/>
      <c r="AC28" s="3804"/>
      <c r="AD28" s="3804"/>
      <c r="AE28" s="3804"/>
      <c r="AF28" s="3804"/>
      <c r="AG28" s="3804"/>
      <c r="AH28" s="3804"/>
      <c r="AI28" s="3804"/>
      <c r="AJ28" s="3804"/>
      <c r="AK28" s="3804"/>
      <c r="AS28" s="3432">
        <v>0</v>
      </c>
    </row>
    <row customHeight="1" ht="25.5" hidden="1">
      <c r="S29" s="3843" t="s">
        <v>41</v>
      </c>
      <c r="T29" s="3843"/>
      <c r="U29" s="3844"/>
      <c r="V29" s="3806" t="str">
        <f>IF(TITLE_NAME_OR_PR_CHANGE="",IF(TITLE_NAME_OR_PR="","",TITLE_NAME_OR_PR),TITLE_NAME_OR_PR_CHANGE)</f>
        <v/>
      </c>
      <c r="W29" s="3806"/>
      <c r="X29" s="3806"/>
      <c r="Y29" s="3806"/>
      <c r="Z29" s="3806"/>
      <c r="AA29" s="3806"/>
      <c r="AB29" s="3806"/>
      <c r="AD29" s="3806" t="str">
        <f>IF(TITLE_NAME_OR_PR_CHANGE="",IF(TITLE_NAME_OR_PR="","",TITLE_NAME_OR_PR),TITLE_NAME_OR_PR_CHANGE)</f>
        <v/>
      </c>
      <c r="AE29" s="3806"/>
      <c r="AF29" s="3806"/>
      <c r="AG29" s="3806"/>
      <c r="AH29" s="3806"/>
      <c r="AI29" s="3806"/>
      <c r="AJ29" s="3806"/>
      <c r="AS29" s="3489">
        <v>0</v>
      </c>
    </row>
    <row customHeight="1" ht="18.75" hidden="1">
      <c r="S30" s="3843" t="s">
        <v>438</v>
      </c>
      <c r="T30" s="3843"/>
      <c r="U30" s="3844"/>
      <c r="V30" s="795" t="str">
        <f>IF(TITLE_DATE_PR_CHANGE="",IF(TITLE_DATE_PR="","",TITLE_DATE_PR),TITLE_DATE_PR_CHANGE)</f>
        <v/>
      </c>
      <c r="W30" s="795"/>
      <c r="X30" s="795"/>
      <c r="Y30" s="795"/>
      <c r="Z30" s="795"/>
      <c r="AA30" s="795"/>
      <c r="AB30" s="795"/>
      <c r="AD30" s="795" t="str">
        <f>IF(TITLE_DATE_PR_CHANGE="",IF(TITLE_DATE_PR="","",TITLE_DATE_PR),TITLE_DATE_PR_CHANGE)</f>
        <v/>
      </c>
      <c r="AE30" s="795"/>
      <c r="AF30" s="795"/>
      <c r="AG30" s="795"/>
      <c r="AH30" s="795"/>
      <c r="AI30" s="795"/>
      <c r="AJ30" s="795"/>
      <c r="AS30" s="3489">
        <v>0</v>
      </c>
    </row>
    <row customHeight="1" ht="18.75" hidden="1">
      <c r="S31" s="3843" t="s">
        <v>439</v>
      </c>
      <c r="T31" s="3843"/>
      <c r="U31" s="3844"/>
      <c r="V31" s="3806" t="str">
        <f>IF(TITLE_NUMBER_PR_CHANGE="",IF(TITLE_NUMBER_PR="","",TITLE_NUMBER_PR),TITLE_NUMBER_PR_CHANGE)</f>
        <v/>
      </c>
      <c r="W31" s="3806"/>
      <c r="X31" s="3806"/>
      <c r="Y31" s="3806"/>
      <c r="Z31" s="3806"/>
      <c r="AA31" s="3806"/>
      <c r="AB31" s="3806"/>
      <c r="AD31" s="3806" t="str">
        <f>IF(TITLE_NUMBER_PR_CHANGE="",IF(TITLE_NUMBER_PR="","",TITLE_NUMBER_PR),TITLE_NUMBER_PR_CHANGE)</f>
        <v/>
      </c>
      <c r="AE31" s="3806"/>
      <c r="AF31" s="3806"/>
      <c r="AG31" s="3806"/>
      <c r="AH31" s="3806"/>
      <c r="AI31" s="3806"/>
      <c r="AJ31" s="3806"/>
      <c r="AS31" s="3489">
        <v>0</v>
      </c>
    </row>
    <row customHeight="1" ht="18.75" hidden="1">
      <c r="S32" s="3843" t="s">
        <v>42</v>
      </c>
      <c r="T32" s="3843"/>
      <c r="U32" s="3844"/>
      <c r="V32" s="3806" t="str">
        <f>IF(TITLE_IST_PUB_CHANGE="",IF(TITLE_IST_PUB="","",TITLE_IST_PUB),TITLE_IST_PUB_CHANGE)</f>
        <v/>
      </c>
      <c r="W32" s="3806"/>
      <c r="X32" s="3806"/>
      <c r="Y32" s="3806"/>
      <c r="Z32" s="3806"/>
      <c r="AA32" s="3806"/>
      <c r="AB32" s="3806"/>
      <c r="AD32" s="3806" t="str">
        <f>IF(TITLE_IST_PUB_CHANGE="",IF(TITLE_IST_PUB="","",TITLE_IST_PUB),TITLE_IST_PUB_CHANGE)</f>
        <v/>
      </c>
      <c r="AE32" s="3806"/>
      <c r="AF32" s="3806"/>
      <c r="AG32" s="3806"/>
      <c r="AH32" s="3806"/>
      <c r="AI32" s="3806"/>
      <c r="AJ32" s="3806"/>
      <c r="AS32" s="3489">
        <v>0</v>
      </c>
    </row>
    <row customHeight="1" ht="14.25" hidden="1">
      <c r="Q33" s="3719"/>
      <c r="R33" s="3719"/>
      <c r="S33" s="3842"/>
      <c r="T33" s="3450"/>
      <c r="U33" s="3450"/>
      <c r="V33" s="3804"/>
      <c r="W33" s="3804"/>
      <c r="X33" s="3804"/>
      <c r="Y33" s="3804"/>
      <c r="Z33" s="3804"/>
      <c r="AA33" s="3804"/>
      <c r="AB33" s="3804"/>
      <c r="AC33" s="3804"/>
      <c r="AD33" s="3804"/>
      <c r="AE33" s="3804"/>
      <c r="AF33" s="3804"/>
      <c r="AG33" s="3804"/>
      <c r="AH33" s="3804"/>
      <c r="AI33" s="3804"/>
      <c r="AJ33" s="3804"/>
      <c r="AK33" s="3804"/>
      <c r="AS33" s="3432">
        <v>0</v>
      </c>
    </row>
    <row customHeight="1" ht="18.75" hidden="1">
      <c r="S34" s="3843" t="s">
        <v>440</v>
      </c>
      <c r="T34" s="3843"/>
      <c r="U34" s="3844"/>
      <c r="V34" s="795" t="str">
        <f>IF(TITLE_DATE_PR_CHANGE="",IF(TITLE_DATE_PR="","",TITLE_DATE_PR),TITLE_DATE_PR_CHANGE)</f>
        <v/>
      </c>
      <c r="W34" s="795"/>
      <c r="X34" s="795"/>
      <c r="Y34" s="795"/>
      <c r="Z34" s="795"/>
      <c r="AA34" s="795"/>
      <c r="AB34" s="795"/>
      <c r="AD34" s="795" t="str">
        <f>IF(TITLE_DATE_PR_CHANGE="",IF(TITLE_DATE_PR="","",TITLE_DATE_PR),TITLE_DATE_PR_CHANGE)</f>
        <v/>
      </c>
      <c r="AE34" s="795"/>
      <c r="AF34" s="795"/>
      <c r="AG34" s="795"/>
      <c r="AH34" s="795"/>
      <c r="AI34" s="795"/>
      <c r="AJ34" s="795"/>
      <c r="AS34" s="3489">
        <v>0</v>
      </c>
    </row>
    <row customHeight="1" ht="18.75" hidden="1">
      <c r="S35" s="3843" t="s">
        <v>441</v>
      </c>
      <c r="T35" s="3843"/>
      <c r="U35" s="3844"/>
      <c r="V35" s="3806" t="str">
        <f>IF(TITLE_NUMBER_PR_CHANGE="",IF(TITLE_NUMBER_PR="","",TITLE_NUMBER_PR),TITLE_NUMBER_PR_CHANGE)</f>
        <v/>
      </c>
      <c r="W35" s="3806"/>
      <c r="X35" s="3806"/>
      <c r="Y35" s="3806"/>
      <c r="Z35" s="3806"/>
      <c r="AA35" s="3806"/>
      <c r="AB35" s="3806"/>
      <c r="AD35" s="3806" t="str">
        <f>IF(TITLE_NUMBER_PR_CHANGE="",IF(TITLE_NUMBER_PR="","",TITLE_NUMBER_PR),TITLE_NUMBER_PR_CHANGE)</f>
        <v/>
      </c>
      <c r="AE35" s="3806"/>
      <c r="AF35" s="3806"/>
      <c r="AG35" s="3806"/>
      <c r="AH35" s="3806"/>
      <c r="AI35" s="3806"/>
      <c r="AJ35" s="3806"/>
      <c r="AS35" s="3489">
        <v>0</v>
      </c>
    </row>
    <row customHeight="1" ht="0">
      <c r="AC36" s="3473" t="s">
        <v>442</v>
      </c>
      <c r="AK36" s="3473" t="s">
        <v>442</v>
      </c>
      <c r="AS36" s="3489">
        <v>0</v>
      </c>
    </row>
    <row customHeight="1" ht="14.699999999999998">
      <c r="Q37" s="3719"/>
      <c r="R37" s="3719"/>
      <c r="S37" s="3842"/>
      <c r="T37" s="3450"/>
      <c r="U37" s="3845"/>
      <c r="V37" s="3846"/>
      <c r="W37" s="3846"/>
      <c r="X37" s="3846"/>
      <c r="Y37" s="3846"/>
      <c r="Z37" s="3846"/>
      <c r="AA37" s="3846"/>
      <c r="AB37" s="3846"/>
      <c r="AC37" s="3846"/>
      <c r="AD37" s="3846"/>
      <c r="AE37" s="3846"/>
      <c r="AF37" s="3846"/>
      <c r="AG37" s="3846"/>
      <c r="AH37" s="3846"/>
      <c r="AI37" s="3846"/>
      <c r="AJ37" s="3846"/>
      <c r="AK37" s="3846"/>
      <c r="AS37" s="3432">
        <v>14</v>
      </c>
    </row>
    <row customHeight="1" ht="14.699999999999998">
      <c r="Q38" s="3719"/>
      <c r="R38" s="3719"/>
      <c r="S38" s="3480" t="s">
        <v>315</v>
      </c>
      <c r="T38" s="3480"/>
      <c r="U38" s="3480"/>
      <c r="V38" s="3480"/>
      <c r="W38" s="3480"/>
      <c r="X38" s="3480"/>
      <c r="Y38" s="3480"/>
      <c r="Z38" s="3480"/>
      <c r="AA38" s="3480"/>
      <c r="AB38" s="3480"/>
      <c r="AC38" s="3480"/>
      <c r="AD38" s="3480"/>
      <c r="AE38" s="3480"/>
      <c r="AF38" s="3480"/>
      <c r="AG38" s="3480"/>
      <c r="AH38" s="3480"/>
      <c r="AI38" s="3480"/>
      <c r="AJ38" s="3480"/>
      <c r="AK38" s="3480"/>
      <c r="AL38" s="3480"/>
      <c r="AM38" s="3480" t="s">
        <v>316</v>
      </c>
      <c r="AS38" s="3432">
        <v>14</v>
      </c>
    </row>
    <row customHeight="1" ht="14.699999999999998">
      <c r="Q39" s="3719"/>
      <c r="R39" s="3719"/>
      <c r="S39" s="3818" t="s">
        <v>86</v>
      </c>
      <c r="T39" s="3579" t="s">
        <v>443</v>
      </c>
      <c r="U39" s="3793"/>
      <c r="V39" s="3847" t="s">
        <v>444</v>
      </c>
      <c r="W39" s="3848"/>
      <c r="X39" s="3848"/>
      <c r="Y39" s="3848"/>
      <c r="Z39" s="3848"/>
      <c r="AA39" s="3848"/>
      <c r="AB39" s="3849"/>
      <c r="AC39" s="3807" t="s">
        <v>445</v>
      </c>
      <c r="AD39" s="3847" t="s">
        <v>444</v>
      </c>
      <c r="AE39" s="3848"/>
      <c r="AF39" s="3848"/>
      <c r="AG39" s="3848"/>
      <c r="AH39" s="3848"/>
      <c r="AI39" s="3848"/>
      <c r="AJ39" s="3849"/>
      <c r="AK39" s="3807" t="s">
        <v>446</v>
      </c>
      <c r="AL39" s="868" t="s">
        <v>447</v>
      </c>
      <c r="AM39" s="3480"/>
      <c r="AS39" s="3432">
        <v>14</v>
      </c>
    </row>
    <row customHeight="1" ht="35.699999999999996">
      <c r="Q40" s="3719"/>
      <c r="R40" s="3719"/>
      <c r="S40" s="3818"/>
      <c r="T40" s="3579"/>
      <c r="U40" s="3798"/>
      <c r="V40" s="3558" t="s">
        <v>448</v>
      </c>
      <c r="W40" s="3850" t="s">
        <v>449</v>
      </c>
      <c r="X40" s="3437" t="s">
        <v>450</v>
      </c>
      <c r="Y40" s="3436"/>
      <c r="Z40" s="3437" t="s">
        <v>464</v>
      </c>
      <c r="AA40" s="3477"/>
      <c r="AB40" s="3436"/>
      <c r="AC40" s="3851"/>
      <c r="AD40" s="3558" t="s">
        <v>448</v>
      </c>
      <c r="AE40" s="3850" t="s">
        <v>449</v>
      </c>
      <c r="AF40" s="3437" t="s">
        <v>450</v>
      </c>
      <c r="AG40" s="3436"/>
      <c r="AH40" s="3437" t="s">
        <v>451</v>
      </c>
      <c r="AI40" s="3477"/>
      <c r="AJ40" s="3436"/>
      <c r="AK40" s="3851"/>
      <c r="AL40" s="871"/>
      <c r="AM40" s="3480"/>
      <c r="AS40" s="3432">
        <v>34</v>
      </c>
    </row>
    <row customHeight="1" ht="35.699999999999996">
      <c r="B41" s="3511" t="s">
        <v>153</v>
      </c>
      <c r="C41" s="3511" t="s">
        <v>154</v>
      </c>
      <c r="D41" s="3511" t="s">
        <v>155</v>
      </c>
      <c r="E41" s="3830" t="s">
        <v>452</v>
      </c>
      <c r="F41" s="3830" t="s">
        <v>453</v>
      </c>
      <c r="G41" s="3830" t="s">
        <v>454</v>
      </c>
      <c r="H41" s="3830" t="s">
        <v>455</v>
      </c>
      <c r="I41" s="3830" t="s">
        <v>456</v>
      </c>
      <c r="J41" s="3830" t="s">
        <v>457</v>
      </c>
      <c r="K41" s="3830" t="s">
        <v>458</v>
      </c>
      <c r="L41" s="3830" t="s">
        <v>433</v>
      </c>
      <c r="Q41" s="3719"/>
      <c r="R41" s="3719"/>
      <c r="S41" s="3818"/>
      <c r="T41" s="3579"/>
      <c r="U41" s="3852"/>
      <c r="V41" s="3483"/>
      <c r="W41" s="3710"/>
      <c r="X41" s="3525" t="s">
        <v>459</v>
      </c>
      <c r="Y41" s="3525" t="s">
        <v>460</v>
      </c>
      <c r="Z41" s="3525" t="s">
        <v>461</v>
      </c>
      <c r="AA41" s="3626" t="s">
        <v>462</v>
      </c>
      <c r="AB41" s="3628"/>
      <c r="AC41" s="3810"/>
      <c r="AD41" s="3483"/>
      <c r="AE41" s="3710"/>
      <c r="AF41" s="3525" t="s">
        <v>459</v>
      </c>
      <c r="AG41" s="3525" t="s">
        <v>460</v>
      </c>
      <c r="AH41" s="3525" t="s">
        <v>461</v>
      </c>
      <c r="AI41" s="3626" t="s">
        <v>462</v>
      </c>
      <c r="AJ41" s="3628"/>
      <c r="AK41" s="3810"/>
      <c r="AL41" s="873"/>
      <c r="AM41" s="3480"/>
      <c r="AS41" s="3432">
        <v>34</v>
      </c>
    </row>
    <row customHeight="1" ht="11.25" hidden="1">
      <c r="Q42" s="3853"/>
      <c r="R42" s="3854">
        <v>1</v>
      </c>
      <c r="S42" s="876" t="s">
        <v>107</v>
      </c>
      <c r="T42" s="877" t="s">
        <v>108</v>
      </c>
      <c r="U42" s="3855" t="str">
        <f>OFFSET(U42,0,-1)</f>
        <v>2</v>
      </c>
      <c r="V42" s="3856">
        <f>OFFSET(V42,0,-1)+1</f>
        <v>3</v>
      </c>
      <c r="W42" s="3856"/>
      <c r="X42" s="3856">
        <f>OFFSET(X42,0,-1)+1</f>
        <v>1</v>
      </c>
      <c r="Y42" s="3856">
        <f>OFFSET(Y42,0,-1)+1</f>
        <v>2</v>
      </c>
      <c r="Z42" s="3856">
        <f>OFFSET(Z42,0,-1)+1</f>
        <v>3</v>
      </c>
      <c r="AA42" s="3856">
        <f>OFFSET(AA42,0,-1)+1</f>
        <v>4</v>
      </c>
      <c r="AB42" s="3856"/>
      <c r="AC42" s="3856">
        <f>OFFSET(AC42,0,-2)+1</f>
        <v>5</v>
      </c>
      <c r="AD42" s="3856">
        <f>OFFSET(AD42,0,-1)+1</f>
        <v>6</v>
      </c>
      <c r="AE42" s="3856"/>
      <c r="AF42" s="3856">
        <f>OFFSET(AF42,0,-1)+1</f>
        <v>1</v>
      </c>
      <c r="AG42" s="3856">
        <f>OFFSET(AG42,0,-1)+1</f>
        <v>2</v>
      </c>
      <c r="AH42" s="3856">
        <f>OFFSET(AH42,0,-1)+1</f>
        <v>3</v>
      </c>
      <c r="AI42" s="3856">
        <f>OFFSET(AI42,0,-1)+1</f>
        <v>4</v>
      </c>
      <c r="AJ42" s="3856"/>
      <c r="AK42" s="3856">
        <f>OFFSET(AK42,0,-2)+1</f>
        <v>5</v>
      </c>
      <c r="AL42" s="3855">
        <f>OFFSET(AL42,0,-1)</f>
        <v>5</v>
      </c>
      <c r="AM42" s="3856">
        <f>OFFSET(AM42,0,-1)+1</f>
        <v>6</v>
      </c>
      <c r="AS42" s="3637">
        <v>0</v>
      </c>
    </row>
    <row customHeight="1" ht="22.049999999999997">
      <c r="A43" s="3857" t="s">
        <v>178</v>
      </c>
      <c r="E43" s="3817">
        <v>1</v>
      </c>
      <c r="R43" s="816"/>
      <c r="S43" s="3818">
        <f>INDEX(PT_DIFFERENTIATION_NUM_NTAR,MATCH(A43,PT_DIFFERENTIATION_NTAR_ID,0))</f>
        <v>0</v>
      </c>
      <c r="T43" s="3764" t="s">
        <v>141</v>
      </c>
      <c r="U43" s="3819"/>
      <c r="V43" s="3820"/>
      <c r="W43" s="3821"/>
      <c r="X43" s="3821"/>
      <c r="Y43" s="3821"/>
      <c r="Z43" s="3821"/>
      <c r="AA43" s="3821"/>
      <c r="AB43" s="3821"/>
      <c r="AC43" s="3822"/>
      <c r="AD43" s="3820" t="str">
        <f>INDEX(PT_DIFFERENTIATION_NTAR,MATCH(A43,PT_DIFFERENTIATION_NTAR_ID,0))</f>
        <v/>
      </c>
      <c r="AE43" s="3821"/>
      <c r="AF43" s="3821"/>
      <c r="AG43" s="3821"/>
      <c r="AH43" s="3821"/>
      <c r="AI43" s="3821"/>
      <c r="AJ43" s="3821"/>
      <c r="AK43" s="3821"/>
      <c r="AL43" s="3822"/>
      <c r="AM43" s="38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3479" t="str">
        <f>IF(T43="","",T43)</f>
        <v>Наименование тарифа</v>
      </c>
      <c r="AS43" s="3432">
        <v>21</v>
      </c>
    </row>
    <row customHeight="1" ht="22.049999999999997">
      <c r="A44" s="3857" t="s">
        <v>178</v>
      </c>
      <c r="B44" s="3857" t="s">
        <v>179</v>
      </c>
      <c r="E44" s="3824"/>
      <c r="F44" s="3817">
        <v>1</v>
      </c>
      <c r="Q44" s="3825"/>
      <c r="R44" s="3826"/>
      <c r="S44" s="3818" t="str">
        <f>INDEX(PT_DIFFERENTIATION_NUM_TER,MATCH(B44,PT_DIFFERENTIATION_TER_ID,0))</f>
        <v>.</v>
      </c>
      <c r="T44" s="3827" t="s">
        <v>412</v>
      </c>
      <c r="U44" s="3819"/>
      <c r="V44" s="3820"/>
      <c r="W44" s="3821"/>
      <c r="X44" s="3821"/>
      <c r="Y44" s="3821"/>
      <c r="Z44" s="3821"/>
      <c r="AA44" s="3821"/>
      <c r="AB44" s="3821"/>
      <c r="AC44" s="3822"/>
      <c r="AD44" s="3820" t="str">
        <f>INDEX(PT_DIFFERENTIATION_TER,MATCH(B44,PT_DIFFERENTIATION_TER_ID,0))</f>
        <v/>
      </c>
      <c r="AE44" s="3821"/>
      <c r="AF44" s="3821"/>
      <c r="AG44" s="3821"/>
      <c r="AH44" s="3821"/>
      <c r="AI44" s="3821"/>
      <c r="AJ44" s="3821"/>
      <c r="AK44" s="3821"/>
      <c r="AL44" s="3822"/>
      <c r="AM44" s="3823" t="s">
        <v>413</v>
      </c>
      <c r="AP44" s="3479" t="str">
        <f>IF(T44="","",T44)</f>
        <v>Территория действия тарифа</v>
      </c>
      <c r="AS44" s="3432">
        <v>21</v>
      </c>
    </row>
    <row customHeight="1" ht="24">
      <c r="A45" s="3857" t="s">
        <v>178</v>
      </c>
      <c r="B45" s="3857" t="s">
        <v>179</v>
      </c>
      <c r="C45" s="3857" t="s">
        <v>180</v>
      </c>
      <c r="E45" s="3824"/>
      <c r="F45" s="3824"/>
      <c r="G45" s="3817">
        <v>1</v>
      </c>
      <c r="Q45" s="3825"/>
      <c r="R45" s="3826"/>
      <c r="S45" s="3818" t="str">
        <f>INDEX(PT_DIFFERENTIATION_NUM_CS,MATCH(C45,PT_DIFFERENTIATION_CS_ID,0))</f>
        <v>..</v>
      </c>
      <c r="T45" s="3828" t="s">
        <v>414</v>
      </c>
      <c r="U45" s="3819"/>
      <c r="V45" s="3820"/>
      <c r="W45" s="3821"/>
      <c r="X45" s="3821"/>
      <c r="Y45" s="3821"/>
      <c r="Z45" s="3821"/>
      <c r="AA45" s="3821"/>
      <c r="AB45" s="3821"/>
      <c r="AC45" s="3822"/>
      <c r="AD45" s="3820" t="str">
        <f>INDEX(PT_DIFFERENTIATION_CS,MATCH(C45,PT_DIFFERENTIATION_CS_ID,0))</f>
        <v/>
      </c>
      <c r="AE45" s="3821"/>
      <c r="AF45" s="3821"/>
      <c r="AG45" s="3821"/>
      <c r="AH45" s="3821"/>
      <c r="AI45" s="3821"/>
      <c r="AJ45" s="3821"/>
      <c r="AK45" s="3821"/>
      <c r="AL45" s="3822"/>
      <c r="AM45" s="3823" t="s">
        <v>415</v>
      </c>
      <c r="AP45" s="3479" t="str">
        <f>IF(T45="","",T45)</f>
        <v>Наименование системы теплоснабжения </v>
      </c>
      <c r="AS45" s="3432">
        <v>23</v>
      </c>
    </row>
    <row customHeight="1" ht="22.049999999999997">
      <c r="A46" s="3857" t="s">
        <v>178</v>
      </c>
      <c r="B46" s="3857" t="s">
        <v>179</v>
      </c>
      <c r="C46" s="3857" t="s">
        <v>180</v>
      </c>
      <c r="D46" s="3857" t="s">
        <v>181</v>
      </c>
      <c r="E46" s="3824"/>
      <c r="F46" s="3824"/>
      <c r="G46" s="3824"/>
      <c r="H46" s="3817">
        <v>1</v>
      </c>
      <c r="Q46" s="3825"/>
      <c r="R46" s="3826"/>
      <c r="S46" s="3818" t="str">
        <f>INDEX(PT_DIFFERENTIATION_NUM_IST_TE,MATCH(D46,PT_DIFFERENTIATION_IST_TE_ID,0))</f>
        <v>...</v>
      </c>
      <c r="T46" s="3829" t="s">
        <v>416</v>
      </c>
      <c r="U46" s="3819"/>
      <c r="V46" s="3820"/>
      <c r="W46" s="3821"/>
      <c r="X46" s="3821"/>
      <c r="Y46" s="3821"/>
      <c r="Z46" s="3821"/>
      <c r="AA46" s="3821"/>
      <c r="AB46" s="3821"/>
      <c r="AC46" s="3822"/>
      <c r="AD46" s="3820" t="str">
        <f>INDEX(PT_DIFFERENTIATION_IST_TE,MATCH(D46,PT_DIFFERENTIATION_IST_TE_ID,0))</f>
        <v/>
      </c>
      <c r="AE46" s="3821"/>
      <c r="AF46" s="3821"/>
      <c r="AG46" s="3821"/>
      <c r="AH46" s="3821"/>
      <c r="AI46" s="3821"/>
      <c r="AJ46" s="3821"/>
      <c r="AK46" s="3821"/>
      <c r="AL46" s="3822"/>
      <c r="AM46" s="3823" t="s">
        <v>417</v>
      </c>
      <c r="AP46" s="3479" t="str">
        <f>IF(T46="","",T46)</f>
        <v>Источник тепловой энергии  </v>
      </c>
      <c r="AS46" s="3432">
        <v>21</v>
      </c>
    </row>
    <row customHeight="1" ht="49.5">
      <c r="A47" s="3857" t="s">
        <v>178</v>
      </c>
      <c r="B47" s="3857" t="s">
        <v>179</v>
      </c>
      <c r="C47" s="3857" t="s">
        <v>180</v>
      </c>
      <c r="D47" s="3857" t="s">
        <v>181</v>
      </c>
      <c r="E47" s="3824"/>
      <c r="F47" s="3824"/>
      <c r="G47" s="3824"/>
      <c r="H47" s="3824"/>
      <c r="I47" s="3711" t="str">
        <f>S46&amp;".1"</f>
        <v>....1</v>
      </c>
      <c r="L47" s="3830" t="s">
        <v>418</v>
      </c>
      <c r="P47" s="3471">
        <v>1</v>
      </c>
      <c r="R47" s="3831"/>
      <c r="S47" s="3818" t="str">
        <f>$I47</f>
        <v>....1</v>
      </c>
      <c r="T47" s="3832" t="s">
        <v>419</v>
      </c>
      <c r="U47" s="3819"/>
      <c r="V47" s="3638"/>
      <c r="W47" s="3833"/>
      <c r="X47" s="3833"/>
      <c r="Y47" s="3833"/>
      <c r="Z47" s="3833"/>
      <c r="AA47" s="3833"/>
      <c r="AB47" s="3833"/>
      <c r="AC47" s="3834"/>
      <c r="AD47" s="3638"/>
      <c r="AE47" s="3833"/>
      <c r="AF47" s="3833"/>
      <c r="AG47" s="3833"/>
      <c r="AH47" s="3833"/>
      <c r="AI47" s="3833"/>
      <c r="AJ47" s="3833"/>
      <c r="AK47" s="3833"/>
      <c r="AL47" s="3834"/>
      <c r="AM47" s="3823" t="s">
        <v>420</v>
      </c>
      <c r="AP47" s="3479" t="str">
        <f>IF(T47="","",T47)</f>
        <v>Схема подключения теплопотребляющей установки к коллектору источника тепловой энергии</v>
      </c>
      <c r="AS47" s="3432">
        <v>47</v>
      </c>
    </row>
    <row customHeight="1" ht="22.049999999999997">
      <c r="A48" s="3857" t="s">
        <v>178</v>
      </c>
      <c r="B48" s="3857" t="s">
        <v>179</v>
      </c>
      <c r="C48" s="3857" t="s">
        <v>180</v>
      </c>
      <c r="D48" s="3857" t="s">
        <v>181</v>
      </c>
      <c r="E48" s="3824"/>
      <c r="F48" s="3824"/>
      <c r="G48" s="3824"/>
      <c r="H48" s="3824"/>
      <c r="I48" s="3835"/>
      <c r="J48" s="3711" t="str">
        <f>I47&amp;".1"</f>
        <v>....1.1</v>
      </c>
      <c r="L48" s="3830" t="s">
        <v>421</v>
      </c>
      <c r="Q48" s="3471">
        <v>1</v>
      </c>
      <c r="R48" s="3836"/>
      <c r="S48" s="3818" t="str">
        <f>$J48</f>
        <v>....1.1</v>
      </c>
      <c r="T48" s="3837" t="s">
        <v>422</v>
      </c>
      <c r="U48" s="3819"/>
      <c r="V48" s="3638"/>
      <c r="W48" s="3833"/>
      <c r="X48" s="3833"/>
      <c r="Y48" s="3833"/>
      <c r="Z48" s="3833"/>
      <c r="AA48" s="3833"/>
      <c r="AB48" s="3833"/>
      <c r="AC48" s="3834"/>
      <c r="AD48" s="3638"/>
      <c r="AE48" s="3833"/>
      <c r="AF48" s="3833"/>
      <c r="AG48" s="3833"/>
      <c r="AH48" s="3833"/>
      <c r="AI48" s="3833"/>
      <c r="AJ48" s="3833"/>
      <c r="AK48" s="3833"/>
      <c r="AL48" s="3834"/>
      <c r="AM48" s="3823" t="s">
        <v>423</v>
      </c>
      <c r="AP48" s="3479" t="str">
        <f>IF(T48="","",T48)</f>
        <v>Группа потребителей</v>
      </c>
      <c r="AS48" s="3432">
        <v>21</v>
      </c>
    </row>
    <row customHeight="1" ht="22.049999999999997">
      <c r="A49" s="3857" t="s">
        <v>178</v>
      </c>
      <c r="B49" s="3857" t="s">
        <v>179</v>
      </c>
      <c r="C49" s="3857" t="s">
        <v>180</v>
      </c>
      <c r="D49" s="3857" t="s">
        <v>181</v>
      </c>
      <c r="E49" s="3824"/>
      <c r="F49" s="3824"/>
      <c r="G49" s="3824"/>
      <c r="H49" s="3824"/>
      <c r="I49" s="3835"/>
      <c r="J49" s="3835"/>
      <c r="K49" s="3711" t="str">
        <f>J48&amp;".1"</f>
        <v>....1.1.1</v>
      </c>
      <c r="L49" s="3830" t="s">
        <v>424</v>
      </c>
      <c r="R49" s="3836">
        <v>1</v>
      </c>
      <c r="S49" s="3818" t="str">
        <f>$K49</f>
        <v>....1.1.1</v>
      </c>
      <c r="T49" s="3838"/>
      <c r="U49" s="3819"/>
      <c r="V49" s="838"/>
      <c r="W49" s="839"/>
      <c r="X49" s="838"/>
      <c r="Y49" s="840"/>
      <c r="Z49" s="572"/>
      <c r="AA49" s="210" t="s">
        <v>61</v>
      </c>
      <c r="AB49" s="572"/>
      <c r="AC49" s="210" t="s">
        <v>61</v>
      </c>
      <c r="AD49" s="838"/>
      <c r="AE49" s="839"/>
      <c r="AF49" s="838"/>
      <c r="AG49" s="840"/>
      <c r="AH49" s="572"/>
      <c r="AI49" s="210" t="s">
        <v>61</v>
      </c>
      <c r="AJ49" s="881"/>
      <c r="AK49" s="210" t="s">
        <v>61</v>
      </c>
      <c r="AL49" s="882"/>
      <c r="AM49" s="3839" t="s">
        <v>425</v>
      </c>
      <c r="AN49" s="3473">
        <f>STRCHECKDATE(V50:AL50)</f>
      </c>
      <c r="AP49" s="3479" t="str">
        <f>IF(T49="","",T49)</f>
        <v/>
      </c>
      <c r="AS49" s="3432">
        <v>21</v>
      </c>
    </row>
    <row customHeight="1" ht="1.05">
      <c r="A50" s="3857" t="s">
        <v>178</v>
      </c>
      <c r="B50" s="3857" t="s">
        <v>179</v>
      </c>
      <c r="C50" s="3857" t="s">
        <v>180</v>
      </c>
      <c r="D50" s="3857" t="s">
        <v>181</v>
      </c>
      <c r="E50" s="3824"/>
      <c r="F50" s="3824"/>
      <c r="G50" s="3824"/>
      <c r="H50" s="3824"/>
      <c r="I50" s="3835"/>
      <c r="J50" s="3835"/>
      <c r="K50" s="3711"/>
      <c r="R50" s="3836"/>
      <c r="S50" s="421"/>
      <c r="T50" s="3819"/>
      <c r="U50" s="3819"/>
      <c r="V50" s="839"/>
      <c r="W50" s="839"/>
      <c r="X50" s="839"/>
      <c r="Y50" s="842" t="str">
        <f>Z49&amp;"-"&amp;AB49</f>
        <v>-</v>
      </c>
      <c r="Z50" s="573"/>
      <c r="AA50" s="210"/>
      <c r="AB50" s="573"/>
      <c r="AC50" s="210"/>
      <c r="AD50" s="839"/>
      <c r="AE50" s="839"/>
      <c r="AF50" s="839"/>
      <c r="AG50" s="842" t="str">
        <f>AH49&amp;"-"&amp;AJ49</f>
        <v>-</v>
      </c>
      <c r="AH50" s="573"/>
      <c r="AI50" s="210"/>
      <c r="AJ50" s="883"/>
      <c r="AK50" s="210"/>
      <c r="AL50" s="884"/>
      <c r="AM50" s="3840"/>
      <c r="AP50" s="3479" t="str">
        <f>IF(T50="","",T50)</f>
        <v/>
      </c>
      <c r="AS50" s="3432">
        <v>1</v>
      </c>
    </row>
    <row customHeight="1" ht="11.549999999999999">
      <c r="A51" s="3857" t="s">
        <v>178</v>
      </c>
      <c r="B51" s="3857" t="s">
        <v>179</v>
      </c>
      <c r="C51" s="3857" t="s">
        <v>180</v>
      </c>
      <c r="D51" s="3857" t="s">
        <v>181</v>
      </c>
      <c r="E51" s="3824"/>
      <c r="F51" s="3824"/>
      <c r="G51" s="3824"/>
      <c r="H51" s="3824"/>
      <c r="I51" s="3835"/>
      <c r="J51" s="3711"/>
      <c r="R51" s="3831"/>
      <c r="S51" s="844"/>
      <c r="T51" s="845" t="s">
        <v>426</v>
      </c>
      <c r="U51" s="200"/>
      <c r="V51" s="200"/>
      <c r="W51" s="200"/>
      <c r="X51" s="200"/>
      <c r="Y51" s="200"/>
      <c r="Z51" s="200"/>
      <c r="AA51" s="200"/>
      <c r="AB51" s="200"/>
      <c r="AC51" s="200"/>
      <c r="AD51" s="200"/>
      <c r="AE51" s="200"/>
      <c r="AF51" s="200"/>
      <c r="AG51" s="200"/>
      <c r="AH51" s="200"/>
      <c r="AI51" s="200"/>
      <c r="AJ51" s="200"/>
      <c r="AK51" s="200"/>
      <c r="AL51" s="846"/>
      <c r="AM51" s="3841"/>
      <c r="AP51" s="3479" t="str">
        <f>IF(T51="","",T51)</f>
        <v>Добавить вид теплоносителя (параметры теплоносителя)</v>
      </c>
      <c r="AS51" s="3432">
        <v>11</v>
      </c>
    </row>
    <row customHeight="1" ht="11.549999999999999">
      <c r="A52" s="3857" t="s">
        <v>178</v>
      </c>
      <c r="B52" s="3857" t="s">
        <v>179</v>
      </c>
      <c r="C52" s="3857" t="s">
        <v>180</v>
      </c>
      <c r="D52" s="3857" t="s">
        <v>181</v>
      </c>
      <c r="E52" s="3824"/>
      <c r="F52" s="3824"/>
      <c r="G52" s="3824"/>
      <c r="H52" s="3824"/>
      <c r="I52" s="3711"/>
      <c r="R52" s="3831"/>
      <c r="S52" s="844"/>
      <c r="T52" s="848" t="s">
        <v>427</v>
      </c>
      <c r="U52" s="200"/>
      <c r="V52" s="200"/>
      <c r="W52" s="200"/>
      <c r="X52" s="200"/>
      <c r="Y52" s="200"/>
      <c r="Z52" s="200"/>
      <c r="AA52" s="200"/>
      <c r="AB52" s="200"/>
      <c r="AC52" s="849"/>
      <c r="AD52" s="200"/>
      <c r="AE52" s="200"/>
      <c r="AF52" s="200"/>
      <c r="AG52" s="200"/>
      <c r="AH52" s="200"/>
      <c r="AI52" s="200"/>
      <c r="AJ52" s="200"/>
      <c r="AK52" s="849"/>
      <c r="AL52" s="200"/>
      <c r="AM52" s="850"/>
      <c r="AP52" s="3479" t="str">
        <f>IF(T52="","",T52)</f>
        <v>Добавить группу потребителей</v>
      </c>
      <c r="AS52" s="3432">
        <v>11</v>
      </c>
    </row>
    <row customHeight="1" ht="14.699999999999998">
      <c r="A53" s="3857" t="s">
        <v>178</v>
      </c>
      <c r="B53" s="3857" t="s">
        <v>179</v>
      </c>
      <c r="C53" s="3857" t="s">
        <v>180</v>
      </c>
      <c r="D53" s="3857" t="s">
        <v>181</v>
      </c>
      <c r="E53" s="3824"/>
      <c r="F53" s="3824"/>
      <c r="G53" s="3824"/>
      <c r="H53" s="3817"/>
      <c r="R53" s="816"/>
      <c r="S53" s="844"/>
      <c r="T53" s="851" t="s">
        <v>428</v>
      </c>
      <c r="U53" s="200"/>
      <c r="V53" s="200"/>
      <c r="W53" s="200"/>
      <c r="X53" s="200"/>
      <c r="Y53" s="200"/>
      <c r="Z53" s="200"/>
      <c r="AA53" s="200"/>
      <c r="AB53" s="200"/>
      <c r="AC53" s="849"/>
      <c r="AD53" s="200"/>
      <c r="AE53" s="200"/>
      <c r="AF53" s="200"/>
      <c r="AG53" s="200"/>
      <c r="AH53" s="200"/>
      <c r="AI53" s="200"/>
      <c r="AJ53" s="200"/>
      <c r="AK53" s="849"/>
      <c r="AL53" s="200"/>
      <c r="AM53" s="850"/>
      <c r="AP53" s="3479" t="str">
        <f>IF(T53="","",T53)</f>
        <v>Добавить схему подключения</v>
      </c>
      <c r="AS53" s="3432">
        <v>14</v>
      </c>
    </row>
    <row customHeight="1" ht="1.05">
      <c r="A54" s="3470" t="s">
        <v>178</v>
      </c>
      <c r="B54" s="3470" t="s">
        <v>179</v>
      </c>
      <c r="C54" s="3470" t="s">
        <v>180</v>
      </c>
      <c r="E54" s="3824"/>
      <c r="F54" s="3824"/>
      <c r="G54" s="3817"/>
      <c r="T54" s="856" t="s">
        <v>429</v>
      </c>
      <c r="AP54" s="3479" t="str">
        <f>IF(T54="","",T54)</f>
        <v>Добавить источник для дифференциации</v>
      </c>
      <c r="AS54" s="3473">
        <v>1</v>
      </c>
    </row>
    <row customHeight="1" ht="1.05">
      <c r="A55" s="3470" t="s">
        <v>178</v>
      </c>
      <c r="B55" s="3470" t="s">
        <v>179</v>
      </c>
      <c r="E55" s="3824"/>
      <c r="F55" s="3817"/>
      <c r="T55" s="856" t="s">
        <v>430</v>
      </c>
      <c r="AP55" s="3479" t="str">
        <f>IF(T55="","",T55)</f>
        <v>Добавить централизованную систему для дифференциации</v>
      </c>
      <c r="AS55" s="3473">
        <v>1</v>
      </c>
    </row>
    <row customHeight="1" ht="1.05">
      <c r="A56" s="3470" t="s">
        <v>178</v>
      </c>
      <c r="E56" s="3817"/>
      <c r="T56" s="856" t="s">
        <v>431</v>
      </c>
      <c r="AP56" s="3479" t="str">
        <f>IF(T56="","",T56)</f>
        <v>Добавить территорию для дифференциации</v>
      </c>
      <c r="AS56" s="3473">
        <v>1</v>
      </c>
    </row>
    <row customHeight="1" ht="1.05">
      <c r="T57" s="856" t="s">
        <v>463</v>
      </c>
      <c r="AP57" s="3479" t="str">
        <f>IF(T57="","",T57)</f>
        <v>Добавить наименование тарифа</v>
      </c>
      <c r="AS57" s="3473">
        <v>1</v>
      </c>
    </row>
    <row customHeight="1" ht="11.549999999999999">
      <c r="AS58" s="3432">
        <v>11</v>
      </c>
    </row>
    <row customHeight="1" ht="28.5">
      <c r="AS59" s="3432">
        <v>27</v>
      </c>
    </row>
    <row customHeight="1" ht="65.25">
      <c r="AS60" s="3432">
        <v>62</v>
      </c>
    </row>
    <row customHeight="1" ht="14.699999999999998">
      <c r="AS61" s="3432">
        <v>14</v>
      </c>
    </row>
    <row customHeight="1" ht="18.75">
      <c r="AS62" s="3432">
        <v>18</v>
      </c>
    </row>
    <row customHeight="1" ht="18.75">
      <c r="AS63" s="3432">
        <v>18</v>
      </c>
    </row>
    <row customHeight="1" ht="29.25">
      <c r="AS64" s="3432">
        <v>28</v>
      </c>
    </row>
    <row customHeight="1" ht="22.5" hidden="1">
      <c r="A65" s="3449" t="s">
        <v>80</v>
      </c>
      <c r="B65" s="3449">
        <v>0</v>
      </c>
      <c r="C65" s="3449">
        <v>0</v>
      </c>
      <c r="D65" s="3449">
        <v>0</v>
      </c>
      <c r="E65" s="3449">
        <v>0</v>
      </c>
      <c r="F65" s="3449">
        <v>0</v>
      </c>
      <c r="G65" s="3449">
        <v>0</v>
      </c>
      <c r="H65" s="3449">
        <v>0</v>
      </c>
      <c r="I65" s="3449">
        <v>0</v>
      </c>
      <c r="J65" s="3449">
        <v>0</v>
      </c>
      <c r="K65" s="3449">
        <v>0</v>
      </c>
      <c r="L65" s="3618">
        <v>0</v>
      </c>
      <c r="M65" s="105">
        <v>0</v>
      </c>
      <c r="N65" s="105">
        <v>0</v>
      </c>
      <c r="O65" s="105">
        <v>0</v>
      </c>
      <c r="P65" s="782">
        <v>3</v>
      </c>
      <c r="Q65" s="3797">
        <v>3</v>
      </c>
      <c r="R65" s="3797">
        <v>3</v>
      </c>
      <c r="S65" s="3447">
        <v>12</v>
      </c>
      <c r="T65" s="3432">
        <v>31</v>
      </c>
      <c r="U65" s="3432">
        <v>0</v>
      </c>
      <c r="V65" s="3432">
        <v>0</v>
      </c>
      <c r="W65" s="3432">
        <v>0</v>
      </c>
      <c r="X65" s="3432">
        <v>0</v>
      </c>
      <c r="Y65" s="3432">
        <v>0</v>
      </c>
      <c r="Z65" s="3432">
        <v>0</v>
      </c>
      <c r="AA65" s="3432">
        <v>0</v>
      </c>
      <c r="AB65" s="3432">
        <v>0</v>
      </c>
      <c r="AC65" s="3432">
        <v>0</v>
      </c>
      <c r="AD65" s="3432">
        <v>24</v>
      </c>
      <c r="AE65" s="3432">
        <v>0</v>
      </c>
      <c r="AF65" s="3432">
        <v>24</v>
      </c>
      <c r="AG65" s="3432">
        <v>24</v>
      </c>
      <c r="AH65" s="3432">
        <v>11</v>
      </c>
      <c r="AI65" s="3432">
        <v>3</v>
      </c>
      <c r="AJ65" s="3432">
        <v>11</v>
      </c>
      <c r="AK65" s="3432">
        <v>0</v>
      </c>
      <c r="AL65" s="3432">
        <v>4</v>
      </c>
      <c r="AM65" s="3432">
        <v>115</v>
      </c>
      <c r="AN65" s="3473">
        <v>10</v>
      </c>
      <c r="AO65" s="3473">
        <v>10</v>
      </c>
      <c r="AP65" s="3473">
        <v>10</v>
      </c>
      <c r="AQ65" s="3473">
        <v>10</v>
      </c>
      <c r="AR65" s="3473">
        <v>10</v>
      </c>
      <c r="AS65" s="343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73AE8-93C3-5654-2E58-E206F05FFE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1.00390625" customWidth="1"/>
    <col min="21" max="21" style="7348" width="0.140625" customWidth="1"/>
    <col min="22" max="22" style="7348" width="24.7109375" hidden="1" customWidth="1"/>
    <col min="23" max="23" style="7348" width="0.140625" hidden="1" customWidth="1"/>
    <col min="24" max="25" style="7348" width="24.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24.7109375" customWidth="1"/>
    <col min="31" max="31" style="7348" width="0.140625" customWidth="1"/>
    <col min="32" max="33" style="7348" width="24.00390625" customWidth="1"/>
    <col min="34" max="34" style="7348" width="11.00390625" customWidth="1"/>
    <col min="35" max="35" style="7348" width="3.7109375" customWidth="1"/>
    <col min="36" max="36" style="7348" width="11.00390625" customWidth="1"/>
    <col min="37" max="37" style="7348" width="8.57421875" hidden="1" customWidth="1"/>
    <col min="38" max="38" style="7348" width="4.00390625" customWidth="1"/>
    <col min="39" max="39" style="7348" width="115.00390625" customWidth="1"/>
    <col min="40" max="44" style="7348" width="10.00390625" customWidth="1"/>
    <col min="45" max="45" style="7348" width="10.57421875" hidden="1"/>
  </cols>
  <sheetData>
    <row customHeight="1" ht="22.5" hidden="1">
      <c r="AS1" s="3432" t="s">
        <v>14</v>
      </c>
    </row>
    <row customHeight="1" ht="21" hidden="1">
      <c r="E2" s="3879">
        <v>1</v>
      </c>
      <c r="R2" s="816"/>
      <c r="S2" s="3818">
        <f>INDEX(PT_DIFFERENTIATION_NUM_NTAR,MATCH(A2,PT_DIFFERENTIATION_NTAR_ID,0))</f>
      </c>
      <c r="T2" s="3764" t="s">
        <v>141</v>
      </c>
      <c r="U2" s="3819"/>
      <c r="V2" s="3820"/>
      <c r="W2" s="3821"/>
      <c r="X2" s="3821"/>
      <c r="Y2" s="3821"/>
      <c r="Z2" s="3821"/>
      <c r="AA2" s="3821"/>
      <c r="AB2" s="3821"/>
      <c r="AC2" s="3822"/>
      <c r="AD2" s="3820">
        <f>INDEX(PT_DIFFERENTIATION_NTAR,MATCH(A2,PT_DIFFERENTIATION_NTAR_ID,0))</f>
      </c>
      <c r="AE2" s="3821"/>
      <c r="AF2" s="3821"/>
      <c r="AG2" s="3821"/>
      <c r="AH2" s="3821"/>
      <c r="AI2" s="3821"/>
      <c r="AJ2" s="3821"/>
      <c r="AK2" s="3821"/>
      <c r="AL2" s="3822"/>
      <c r="AM2" s="3823" t="s">
        <v>411</v>
      </c>
      <c r="AP2" s="3479" t="str">
        <f>IF(T2="","",T2)</f>
        <v>Наименование тарифа</v>
      </c>
      <c r="AS2" s="3432">
        <v>0</v>
      </c>
    </row>
    <row customHeight="1" ht="21" hidden="1">
      <c r="E3" s="3880"/>
      <c r="F3" s="3879">
        <v>1</v>
      </c>
      <c r="Q3" s="3825"/>
      <c r="R3" s="3826"/>
      <c r="S3" s="3818">
        <f>INDEX(PT_DIFFERENTIATION_NUM_TER,MATCH(B3,PT_DIFFERENTIATION_TER_ID,0))</f>
      </c>
      <c r="T3" s="3827" t="s">
        <v>412</v>
      </c>
      <c r="U3" s="3819"/>
      <c r="V3" s="3820"/>
      <c r="W3" s="3821"/>
      <c r="X3" s="3821"/>
      <c r="Y3" s="3821"/>
      <c r="Z3" s="3821"/>
      <c r="AA3" s="3821"/>
      <c r="AB3" s="3821"/>
      <c r="AC3" s="3822"/>
      <c r="AD3" s="3820">
        <f>INDEX(PT_DIFFERENTIATION_TER,MATCH(B3,PT_DIFFERENTIATION_TER_ID,0))</f>
      </c>
      <c r="AE3" s="3821"/>
      <c r="AF3" s="3821"/>
      <c r="AG3" s="3821"/>
      <c r="AH3" s="3821"/>
      <c r="AI3" s="3821"/>
      <c r="AJ3" s="3821"/>
      <c r="AK3" s="3821"/>
      <c r="AL3" s="3822"/>
      <c r="AM3" s="3823" t="s">
        <v>413</v>
      </c>
      <c r="AP3" s="3479" t="str">
        <f>IF(T3="","",T3)</f>
        <v>Территория действия тарифа</v>
      </c>
      <c r="AS3" s="3432">
        <v>0</v>
      </c>
    </row>
    <row customHeight="1" ht="23.25" hidden="1">
      <c r="E4" s="3880"/>
      <c r="F4" s="3880"/>
      <c r="G4" s="3879">
        <v>1</v>
      </c>
      <c r="Q4" s="3825"/>
      <c r="R4" s="3826"/>
      <c r="S4" s="3818">
        <f>INDEX(PT_DIFFERENTIATION_NUM_CS,MATCH(C4,PT_DIFFERENTIATION_CS_ID,0))</f>
      </c>
      <c r="T4" s="3828" t="s">
        <v>414</v>
      </c>
      <c r="U4" s="3819"/>
      <c r="V4" s="3820"/>
      <c r="W4" s="3821"/>
      <c r="X4" s="3821"/>
      <c r="Y4" s="3821"/>
      <c r="Z4" s="3821"/>
      <c r="AA4" s="3821"/>
      <c r="AB4" s="3821"/>
      <c r="AC4" s="3822"/>
      <c r="AD4" s="3820">
        <f>INDEX(PT_DIFFERENTIATION_CS,MATCH(C4,PT_DIFFERENTIATION_CS_ID,0))</f>
      </c>
      <c r="AE4" s="3821"/>
      <c r="AF4" s="3821"/>
      <c r="AG4" s="3821"/>
      <c r="AH4" s="3821"/>
      <c r="AI4" s="3821"/>
      <c r="AJ4" s="3821"/>
      <c r="AK4" s="3821"/>
      <c r="AL4" s="3822"/>
      <c r="AM4" s="3823" t="s">
        <v>415</v>
      </c>
      <c r="AP4" s="3479" t="str">
        <f>IF(T4="","",T4)</f>
        <v>Наименование системы теплоснабжения </v>
      </c>
      <c r="AS4" s="3432">
        <v>0</v>
      </c>
    </row>
    <row customHeight="1" ht="21" hidden="1">
      <c r="E5" s="3880"/>
      <c r="F5" s="3880"/>
      <c r="G5" s="3880"/>
      <c r="H5" s="3879">
        <v>1</v>
      </c>
      <c r="Q5" s="3825"/>
      <c r="R5" s="3826"/>
      <c r="S5" s="3818">
        <f>INDEX(PT_DIFFERENTIATION_NUM_IST_TE,MATCH(D5,PT_DIFFERENTIATION_IST_TE_ID,0))</f>
      </c>
      <c r="T5" s="3829" t="s">
        <v>416</v>
      </c>
      <c r="U5" s="3819"/>
      <c r="V5" s="3820"/>
      <c r="W5" s="3821"/>
      <c r="X5" s="3821"/>
      <c r="Y5" s="3821"/>
      <c r="Z5" s="3821"/>
      <c r="AA5" s="3821"/>
      <c r="AB5" s="3821"/>
      <c r="AC5" s="3822"/>
      <c r="AD5" s="3820">
        <f>INDEX(PT_DIFFERENTIATION_IST_TE,MATCH(D5,PT_DIFFERENTIATION_IST_TE_ID,0))</f>
      </c>
      <c r="AE5" s="3821"/>
      <c r="AF5" s="3821"/>
      <c r="AG5" s="3821"/>
      <c r="AH5" s="3821"/>
      <c r="AI5" s="3821"/>
      <c r="AJ5" s="3821"/>
      <c r="AK5" s="3821"/>
      <c r="AL5" s="3822"/>
      <c r="AM5" s="3823" t="s">
        <v>417</v>
      </c>
      <c r="AP5" s="3479" t="str">
        <f>IF(T5="","",T5)</f>
        <v>Источник тепловой энергии  </v>
      </c>
      <c r="AS5" s="3432">
        <v>0</v>
      </c>
    </row>
    <row customHeight="1" ht="47.25" hidden="1">
      <c r="E6" s="3880"/>
      <c r="F6" s="3880"/>
      <c r="G6" s="3880"/>
      <c r="H6" s="3880"/>
      <c r="I6" s="3480">
        <f>S5&amp;".1"</f>
      </c>
      <c r="L6" s="3881" t="s">
        <v>418</v>
      </c>
      <c r="P6" s="3471">
        <v>1</v>
      </c>
      <c r="R6" s="3831"/>
      <c r="S6" s="3818">
        <f>$I6</f>
      </c>
      <c r="T6" s="3832" t="s">
        <v>419</v>
      </c>
      <c r="U6" s="3819"/>
      <c r="V6" s="3638"/>
      <c r="W6" s="3833"/>
      <c r="X6" s="3833"/>
      <c r="Y6" s="3833"/>
      <c r="Z6" s="3833"/>
      <c r="AA6" s="3833"/>
      <c r="AB6" s="3833"/>
      <c r="AC6" s="3834"/>
      <c r="AD6" s="3638"/>
      <c r="AE6" s="3833"/>
      <c r="AF6" s="3833"/>
      <c r="AG6" s="3833"/>
      <c r="AH6" s="3833"/>
      <c r="AI6" s="3833"/>
      <c r="AJ6" s="3833"/>
      <c r="AK6" s="3833"/>
      <c r="AL6" s="3834"/>
      <c r="AM6" s="3823" t="s">
        <v>420</v>
      </c>
      <c r="AP6" s="3479" t="str">
        <f>IF(T6="","",T6)</f>
        <v>Схема подключения теплопотребляющей установки к коллектору источника тепловой энергии</v>
      </c>
      <c r="AS6" s="3432">
        <v>0</v>
      </c>
    </row>
    <row customHeight="1" ht="21" hidden="1">
      <c r="E7" s="3880"/>
      <c r="F7" s="3880"/>
      <c r="G7" s="3880"/>
      <c r="H7" s="3880"/>
      <c r="I7" s="3437"/>
      <c r="J7" s="3480">
        <f>I6&amp;".1"</f>
      </c>
      <c r="L7" s="3881" t="s">
        <v>421</v>
      </c>
      <c r="Q7" s="3471">
        <v>1</v>
      </c>
      <c r="R7" s="3836"/>
      <c r="S7" s="3818">
        <f>$J7</f>
      </c>
      <c r="T7" s="3837" t="s">
        <v>422</v>
      </c>
      <c r="U7" s="3819"/>
      <c r="V7" s="3638"/>
      <c r="W7" s="3833"/>
      <c r="X7" s="3833"/>
      <c r="Y7" s="3833"/>
      <c r="Z7" s="3833"/>
      <c r="AA7" s="3833"/>
      <c r="AB7" s="3833"/>
      <c r="AC7" s="3834"/>
      <c r="AD7" s="3638"/>
      <c r="AE7" s="3833"/>
      <c r="AF7" s="3833"/>
      <c r="AG7" s="3833"/>
      <c r="AH7" s="3833"/>
      <c r="AI7" s="3833"/>
      <c r="AJ7" s="3833"/>
      <c r="AK7" s="3833"/>
      <c r="AL7" s="3834"/>
      <c r="AM7" s="3823" t="s">
        <v>423</v>
      </c>
      <c r="AP7" s="3479" t="str">
        <f>IF(T7="","",T7)</f>
        <v>Группа потребителей</v>
      </c>
      <c r="AS7" s="3432">
        <v>0</v>
      </c>
    </row>
    <row customHeight="1" ht="21" hidden="1">
      <c r="E8" s="3880"/>
      <c r="F8" s="3880"/>
      <c r="G8" s="3880"/>
      <c r="H8" s="3880"/>
      <c r="I8" s="3437"/>
      <c r="J8" s="3437"/>
      <c r="K8" s="3480">
        <f>J7&amp;".1"</f>
      </c>
      <c r="L8" s="3881" t="s">
        <v>424</v>
      </c>
      <c r="R8" s="3836">
        <v>1</v>
      </c>
      <c r="S8" s="3818">
        <f>$K8</f>
      </c>
      <c r="T8" s="3838"/>
      <c r="U8" s="3819"/>
      <c r="V8" s="838"/>
      <c r="W8" s="839"/>
      <c r="X8" s="838"/>
      <c r="Y8" s="840"/>
      <c r="Z8" s="572"/>
      <c r="AA8" s="210" t="s">
        <v>61</v>
      </c>
      <c r="AB8" s="572"/>
      <c r="AC8" s="210" t="s">
        <v>61</v>
      </c>
      <c r="AD8" s="838"/>
      <c r="AE8" s="839"/>
      <c r="AF8" s="838"/>
      <c r="AG8" s="840"/>
      <c r="AH8" s="572"/>
      <c r="AI8" s="210" t="s">
        <v>61</v>
      </c>
      <c r="AJ8" s="572"/>
      <c r="AK8" s="210" t="s">
        <v>61</v>
      </c>
      <c r="AL8" s="839"/>
      <c r="AM8" s="3839" t="s">
        <v>425</v>
      </c>
      <c r="AN8" s="3473">
        <f>STRCHECKDATE(V9:AL9)</f>
      </c>
      <c r="AP8" s="3479" t="str">
        <f>IF(T8="","",T8)</f>
        <v/>
      </c>
      <c r="AS8" s="3432">
        <v>0</v>
      </c>
    </row>
    <row customHeight="1" ht="0.75" hidden="1">
      <c r="E9" s="3880"/>
      <c r="F9" s="3880"/>
      <c r="G9" s="3880"/>
      <c r="H9" s="3880"/>
      <c r="I9" s="3437"/>
      <c r="J9" s="3437"/>
      <c r="K9" s="3480"/>
      <c r="R9" s="3836"/>
      <c r="S9" s="421"/>
      <c r="T9" s="3819"/>
      <c r="U9" s="3819"/>
      <c r="V9" s="839"/>
      <c r="W9" s="839"/>
      <c r="X9" s="839"/>
      <c r="Y9" s="842" t="str">
        <f>Z8&amp;"-"&amp;AB8</f>
        <v>-</v>
      </c>
      <c r="Z9" s="573"/>
      <c r="AA9" s="210"/>
      <c r="AB9" s="573"/>
      <c r="AC9" s="210"/>
      <c r="AD9" s="839"/>
      <c r="AE9" s="839"/>
      <c r="AF9" s="839"/>
      <c r="AG9" s="842" t="str">
        <f>AH8&amp;"-"&amp;AJ8</f>
        <v>-</v>
      </c>
      <c r="AH9" s="573"/>
      <c r="AI9" s="210"/>
      <c r="AJ9" s="573"/>
      <c r="AK9" s="210"/>
      <c r="AL9" s="839"/>
      <c r="AM9" s="3840"/>
      <c r="AP9" s="3479" t="str">
        <f>IF(T9="","",T9)</f>
        <v/>
      </c>
      <c r="AS9" s="3432">
        <v>0</v>
      </c>
    </row>
    <row customHeight="1" ht="15" hidden="1">
      <c r="E10" s="3880"/>
      <c r="F10" s="3880"/>
      <c r="G10" s="3880"/>
      <c r="H10" s="3880"/>
      <c r="I10" s="3437"/>
      <c r="J10" s="3480"/>
      <c r="R10" s="3831"/>
      <c r="S10" s="844"/>
      <c r="T10" s="845" t="s">
        <v>426</v>
      </c>
      <c r="U10" s="200"/>
      <c r="V10" s="200"/>
      <c r="W10" s="200"/>
      <c r="X10" s="200"/>
      <c r="Y10" s="200"/>
      <c r="Z10" s="200"/>
      <c r="AA10" s="200"/>
      <c r="AB10" s="200"/>
      <c r="AC10" s="200"/>
      <c r="AD10" s="200"/>
      <c r="AE10" s="200"/>
      <c r="AF10" s="200"/>
      <c r="AG10" s="200"/>
      <c r="AH10" s="200"/>
      <c r="AI10" s="200"/>
      <c r="AJ10" s="200"/>
      <c r="AK10" s="200"/>
      <c r="AL10" s="846"/>
      <c r="AM10" s="3841"/>
      <c r="AP10" s="3479" t="str">
        <f>IF(T10="","",T10)</f>
        <v>Добавить вид теплоносителя (параметры теплоносителя)</v>
      </c>
      <c r="AS10" s="3432">
        <v>0</v>
      </c>
    </row>
    <row customHeight="1" ht="15" hidden="1">
      <c r="E11" s="3880"/>
      <c r="F11" s="3880"/>
      <c r="G11" s="3880"/>
      <c r="H11" s="3880"/>
      <c r="I11" s="3480"/>
      <c r="R11" s="3831"/>
      <c r="S11" s="844"/>
      <c r="T11" s="848" t="s">
        <v>427</v>
      </c>
      <c r="U11" s="200"/>
      <c r="V11" s="200"/>
      <c r="W11" s="200"/>
      <c r="X11" s="200"/>
      <c r="Y11" s="200"/>
      <c r="Z11" s="200"/>
      <c r="AA11" s="200"/>
      <c r="AB11" s="200"/>
      <c r="AC11" s="849"/>
      <c r="AD11" s="200"/>
      <c r="AE11" s="200"/>
      <c r="AF11" s="200"/>
      <c r="AG11" s="200"/>
      <c r="AH11" s="200"/>
      <c r="AI11" s="200"/>
      <c r="AJ11" s="200"/>
      <c r="AK11" s="849"/>
      <c r="AL11" s="200"/>
      <c r="AM11" s="850"/>
      <c r="AP11" s="3479" t="str">
        <f>IF(T11="","",T11)</f>
        <v>Добавить группу потребителей</v>
      </c>
      <c r="AS11" s="3432">
        <v>0</v>
      </c>
    </row>
    <row customHeight="1" ht="14.25" hidden="1">
      <c r="E12" s="3880"/>
      <c r="F12" s="3880"/>
      <c r="G12" s="3880"/>
      <c r="H12" s="3879"/>
      <c r="R12" s="816"/>
      <c r="S12" s="844"/>
      <c r="T12" s="851" t="s">
        <v>428</v>
      </c>
      <c r="U12" s="200"/>
      <c r="V12" s="200"/>
      <c r="W12" s="200"/>
      <c r="X12" s="200"/>
      <c r="Y12" s="200"/>
      <c r="Z12" s="200"/>
      <c r="AA12" s="200"/>
      <c r="AB12" s="200"/>
      <c r="AC12" s="849"/>
      <c r="AD12" s="200"/>
      <c r="AE12" s="200"/>
      <c r="AF12" s="200"/>
      <c r="AG12" s="200"/>
      <c r="AH12" s="200"/>
      <c r="AI12" s="200"/>
      <c r="AJ12" s="200"/>
      <c r="AK12" s="849"/>
      <c r="AL12" s="200"/>
      <c r="AM12" s="850"/>
      <c r="AP12" s="3479" t="str">
        <f>IF(T12="","",T12)</f>
        <v>Добавить схему подключения</v>
      </c>
      <c r="AS12" s="3432">
        <v>0</v>
      </c>
    </row>
    <row customHeight="1" ht="0.75" hidden="1">
      <c r="E13" s="3880"/>
      <c r="F13" s="3880"/>
      <c r="G13" s="3879"/>
      <c r="S13" s="852"/>
      <c r="T13" s="853" t="s">
        <v>429</v>
      </c>
      <c r="U13" s="854"/>
      <c r="V13" s="854"/>
      <c r="W13" s="854"/>
      <c r="X13" s="854"/>
      <c r="Y13" s="854"/>
      <c r="Z13" s="854"/>
      <c r="AA13" s="854"/>
      <c r="AB13" s="854"/>
      <c r="AC13" s="854"/>
      <c r="AD13" s="854"/>
      <c r="AE13" s="854"/>
      <c r="AF13" s="854"/>
      <c r="AG13" s="854"/>
      <c r="AH13" s="854"/>
      <c r="AI13" s="854"/>
      <c r="AJ13" s="854"/>
      <c r="AK13" s="854"/>
      <c r="AL13" s="854"/>
      <c r="AM13" s="854"/>
      <c r="AP13" s="3479" t="str">
        <f>IF(T13="","",T13)</f>
        <v>Добавить источник для дифференциации</v>
      </c>
      <c r="AS13" s="3473">
        <v>0</v>
      </c>
    </row>
    <row customHeight="1" ht="0.75" hidden="1">
      <c r="E14" s="3880"/>
      <c r="F14" s="3879"/>
      <c r="T14" s="855" t="s">
        <v>430</v>
      </c>
      <c r="AP14" s="3479" t="str">
        <f>IF(T14="","",T14)</f>
        <v>Добавить централизованную систему для дифференциации</v>
      </c>
      <c r="AS14" s="3473">
        <v>0</v>
      </c>
    </row>
    <row customHeight="1" ht="0.75" hidden="1">
      <c r="E15" s="3879"/>
      <c r="T15" s="856" t="s">
        <v>431</v>
      </c>
      <c r="AP15" s="3479" t="str">
        <f>IF(T15="","",T15)</f>
        <v>Добавить территорию для дифференциации</v>
      </c>
      <c r="AS15" s="3473">
        <v>0</v>
      </c>
    </row>
    <row customHeight="1" ht="14.25" hidden="1">
      <c r="AS16" s="3432">
        <v>0</v>
      </c>
    </row>
    <row customHeight="1" ht="14.25" hidden="1">
      <c r="AD17" s="719"/>
      <c r="AE17" s="719"/>
      <c r="AF17" s="719"/>
      <c r="AG17" s="857"/>
      <c r="AH17" s="858"/>
      <c r="AI17" s="616" t="s">
        <v>61</v>
      </c>
      <c r="AJ17" s="858"/>
      <c r="AK17" s="616" t="s">
        <v>61</v>
      </c>
      <c r="AS17" s="3432">
        <v>0</v>
      </c>
    </row>
    <row customHeight="1" ht="14.25" hidden="1">
      <c r="AD18" s="719"/>
      <c r="AE18" s="719"/>
      <c r="AF18" s="719"/>
      <c r="AG18" s="842" t="str">
        <f>AH17&amp;"-"&amp;AJ17</f>
        <v>-</v>
      </c>
      <c r="AH18" s="616"/>
      <c r="AI18" s="616"/>
      <c r="AJ18" s="616"/>
      <c r="AK18" s="616"/>
      <c r="AS18" s="3432">
        <v>0</v>
      </c>
    </row>
    <row customHeight="1" ht="14.25" hidden="1">
      <c r="AS19" s="3432">
        <v>0</v>
      </c>
    </row>
    <row customHeight="1" ht="14.25" hidden="1">
      <c r="O20" s="929" t="s">
        <v>432</v>
      </c>
      <c r="Z20" s="859"/>
      <c r="AB20" s="859"/>
      <c r="AH20" s="859"/>
      <c r="AJ20" s="859"/>
      <c r="AS20" s="3449">
        <v>0</v>
      </c>
    </row>
    <row customHeight="1" ht="14.25" hidden="1">
      <c r="AS21" s="3449">
        <v>0</v>
      </c>
    </row>
    <row customHeight="1" ht="14.25" hidden="1">
      <c r="O22" s="3881" t="s">
        <v>433</v>
      </c>
      <c r="T22" s="3449" t="s">
        <v>434</v>
      </c>
      <c r="AA22" s="3511" t="s">
        <v>435</v>
      </c>
      <c r="AC22" s="3511" t="s">
        <v>436</v>
      </c>
      <c r="AD22" s="3449" t="s">
        <v>434</v>
      </c>
      <c r="AI22" s="3511" t="s">
        <v>437</v>
      </c>
      <c r="AK22" s="3511" t="s">
        <v>436</v>
      </c>
      <c r="AS22" s="3449">
        <v>0</v>
      </c>
    </row>
    <row customHeight="1" ht="14.25" hidden="1">
      <c r="AS23" s="3432">
        <v>0</v>
      </c>
    </row>
    <row customHeight="1" ht="14.25" hidden="1">
      <c r="AS24" s="3432">
        <v>0</v>
      </c>
    </row>
    <row customHeight="1" ht="14.699999999999998">
      <c r="Q25" s="3719"/>
      <c r="R25" s="3719"/>
      <c r="S25" s="3842"/>
      <c r="T25" s="3450"/>
      <c r="U25" s="3450"/>
      <c r="AS25" s="3432">
        <v>14</v>
      </c>
    </row>
    <row customHeight="1" ht="14.699999999999998">
      <c r="Q26" s="3719"/>
      <c r="R26" s="3719"/>
      <c r="S26" s="3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46"/>
      <c r="U26" s="3646"/>
      <c r="V26" s="3646"/>
      <c r="W26" s="3646"/>
      <c r="X26" s="3646"/>
      <c r="Y26" s="3646"/>
      <c r="Z26" s="3646"/>
      <c r="AA26" s="3646"/>
      <c r="AB26" s="3646"/>
      <c r="AC26" s="3646"/>
      <c r="AD26" s="3646"/>
      <c r="AE26" s="3646"/>
      <c r="AF26" s="3646"/>
      <c r="AG26" s="3646"/>
      <c r="AH26" s="3646"/>
      <c r="AI26" s="3646"/>
      <c r="AJ26" s="3646"/>
      <c r="AS26" s="3432">
        <v>14</v>
      </c>
    </row>
    <row customHeight="1" ht="14.699999999999998">
      <c r="Q27" s="3719"/>
      <c r="R27" s="3719"/>
      <c r="S27" s="3554" t="str">
        <f>IF(org=0,"Не определено",org)</f>
        <v>ООО "ТеплоЭлектроГенерирующая Компания"</v>
      </c>
      <c r="T27" s="3554"/>
      <c r="U27" s="3554"/>
      <c r="V27" s="3554"/>
      <c r="W27" s="3554"/>
      <c r="X27" s="3554"/>
      <c r="Y27" s="3554"/>
      <c r="Z27" s="3554"/>
      <c r="AA27" s="3554"/>
      <c r="AB27" s="3554"/>
      <c r="AC27" s="3554"/>
      <c r="AD27" s="3554"/>
      <c r="AE27" s="3554"/>
      <c r="AF27" s="3554"/>
      <c r="AG27" s="3554"/>
      <c r="AH27" s="3554"/>
      <c r="AI27" s="3554"/>
      <c r="AJ27" s="3554"/>
      <c r="AS27" s="3432">
        <v>14</v>
      </c>
    </row>
    <row customHeight="1" ht="14.25" hidden="1">
      <c r="Q28" s="3719"/>
      <c r="R28" s="3719"/>
      <c r="S28" s="3842"/>
      <c r="T28" s="3450"/>
      <c r="U28" s="3450"/>
      <c r="V28" s="3804"/>
      <c r="W28" s="3804"/>
      <c r="X28" s="3804"/>
      <c r="Y28" s="3804"/>
      <c r="Z28" s="3804"/>
      <c r="AA28" s="3804"/>
      <c r="AB28" s="3804"/>
      <c r="AC28" s="3804"/>
      <c r="AD28" s="3804"/>
      <c r="AE28" s="3804"/>
      <c r="AF28" s="3804"/>
      <c r="AG28" s="3804"/>
      <c r="AH28" s="3804"/>
      <c r="AI28" s="3804"/>
      <c r="AJ28" s="3804"/>
      <c r="AK28" s="3804"/>
      <c r="AS28" s="3432">
        <v>0</v>
      </c>
    </row>
    <row customHeight="1" ht="25.5" hidden="1">
      <c r="S29" s="3843" t="s">
        <v>41</v>
      </c>
      <c r="T29" s="3843"/>
      <c r="U29" s="3844"/>
      <c r="V29" s="3806" t="str">
        <f>IF(TITLE_NAME_OR_PR_CHANGE="",IF(TITLE_NAME_OR_PR="","",TITLE_NAME_OR_PR),TITLE_NAME_OR_PR_CHANGE)</f>
        <v/>
      </c>
      <c r="W29" s="3806"/>
      <c r="X29" s="3806"/>
      <c r="Y29" s="3806"/>
      <c r="Z29" s="3806"/>
      <c r="AA29" s="3806"/>
      <c r="AB29" s="3806"/>
      <c r="AD29" s="3806" t="str">
        <f>IF(TITLE_NAME_OR_PR_CHANGE="",IF(TITLE_NAME_OR_PR="","",TITLE_NAME_OR_PR),TITLE_NAME_OR_PR_CHANGE)</f>
        <v/>
      </c>
      <c r="AE29" s="3806"/>
      <c r="AF29" s="3806"/>
      <c r="AG29" s="3806"/>
      <c r="AH29" s="3806"/>
      <c r="AI29" s="3806"/>
      <c r="AJ29" s="3806"/>
      <c r="AS29" s="3489">
        <v>0</v>
      </c>
    </row>
    <row customHeight="1" ht="18.75" hidden="1">
      <c r="S30" s="3843" t="s">
        <v>438</v>
      </c>
      <c r="T30" s="3843"/>
      <c r="U30" s="3844"/>
      <c r="V30" s="795" t="str">
        <f>IF(TITLE_DATE_PR_CHANGE="",IF(TITLE_DATE_PR="","",TITLE_DATE_PR),TITLE_DATE_PR_CHANGE)</f>
        <v/>
      </c>
      <c r="W30" s="795"/>
      <c r="X30" s="795"/>
      <c r="Y30" s="795"/>
      <c r="Z30" s="795"/>
      <c r="AA30" s="795"/>
      <c r="AB30" s="795"/>
      <c r="AD30" s="795" t="str">
        <f>IF(TITLE_DATE_PR_CHANGE="",IF(TITLE_DATE_PR="","",TITLE_DATE_PR),TITLE_DATE_PR_CHANGE)</f>
        <v/>
      </c>
      <c r="AE30" s="795"/>
      <c r="AF30" s="795"/>
      <c r="AG30" s="795"/>
      <c r="AH30" s="795"/>
      <c r="AI30" s="795"/>
      <c r="AJ30" s="795"/>
      <c r="AS30" s="3489">
        <v>0</v>
      </c>
    </row>
    <row customHeight="1" ht="18.75" hidden="1">
      <c r="S31" s="3843" t="s">
        <v>439</v>
      </c>
      <c r="T31" s="3843"/>
      <c r="U31" s="3844"/>
      <c r="V31" s="3806" t="str">
        <f>IF(TITLE_NUMBER_PR_CHANGE="",IF(TITLE_NUMBER_PR="","",TITLE_NUMBER_PR),TITLE_NUMBER_PR_CHANGE)</f>
        <v/>
      </c>
      <c r="W31" s="3806"/>
      <c r="X31" s="3806"/>
      <c r="Y31" s="3806"/>
      <c r="Z31" s="3806"/>
      <c r="AA31" s="3806"/>
      <c r="AB31" s="3806"/>
      <c r="AD31" s="3806" t="str">
        <f>IF(TITLE_NUMBER_PR_CHANGE="",IF(TITLE_NUMBER_PR="","",TITLE_NUMBER_PR),TITLE_NUMBER_PR_CHANGE)</f>
        <v/>
      </c>
      <c r="AE31" s="3806"/>
      <c r="AF31" s="3806"/>
      <c r="AG31" s="3806"/>
      <c r="AH31" s="3806"/>
      <c r="AI31" s="3806"/>
      <c r="AJ31" s="3806"/>
      <c r="AS31" s="3489">
        <v>0</v>
      </c>
    </row>
    <row customHeight="1" ht="18.75" hidden="1">
      <c r="S32" s="3843" t="s">
        <v>42</v>
      </c>
      <c r="T32" s="3843"/>
      <c r="U32" s="3844"/>
      <c r="V32" s="3806" t="str">
        <f>IF(TITLE_IST_PUB_CHANGE="",IF(TITLE_IST_PUB="","",TITLE_IST_PUB),TITLE_IST_PUB_CHANGE)</f>
        <v/>
      </c>
      <c r="W32" s="3806"/>
      <c r="X32" s="3806"/>
      <c r="Y32" s="3806"/>
      <c r="Z32" s="3806"/>
      <c r="AA32" s="3806"/>
      <c r="AB32" s="3806"/>
      <c r="AD32" s="3806" t="str">
        <f>IF(TITLE_IST_PUB_CHANGE="",IF(TITLE_IST_PUB="","",TITLE_IST_PUB),TITLE_IST_PUB_CHANGE)</f>
        <v/>
      </c>
      <c r="AE32" s="3806"/>
      <c r="AF32" s="3806"/>
      <c r="AG32" s="3806"/>
      <c r="AH32" s="3806"/>
      <c r="AI32" s="3806"/>
      <c r="AJ32" s="3806"/>
      <c r="AS32" s="3489">
        <v>0</v>
      </c>
    </row>
    <row customHeight="1" ht="14.25" hidden="1">
      <c r="Q33" s="3719"/>
      <c r="R33" s="3719"/>
      <c r="S33" s="3842"/>
      <c r="T33" s="3450"/>
      <c r="U33" s="3450"/>
      <c r="V33" s="3804"/>
      <c r="W33" s="3804"/>
      <c r="X33" s="3804"/>
      <c r="Y33" s="3804"/>
      <c r="Z33" s="3804"/>
      <c r="AA33" s="3804"/>
      <c r="AB33" s="3804"/>
      <c r="AC33" s="3804"/>
      <c r="AD33" s="3804"/>
      <c r="AE33" s="3804"/>
      <c r="AF33" s="3804"/>
      <c r="AG33" s="3804"/>
      <c r="AH33" s="3804"/>
      <c r="AI33" s="3804"/>
      <c r="AJ33" s="3804"/>
      <c r="AK33" s="3804"/>
      <c r="AS33" s="3432">
        <v>0</v>
      </c>
    </row>
    <row customHeight="1" ht="18.75" hidden="1">
      <c r="S34" s="3843" t="s">
        <v>440</v>
      </c>
      <c r="T34" s="3843"/>
      <c r="U34" s="3844"/>
      <c r="V34" s="795" t="str">
        <f>IF(TITLE_DATE_PR_CHANGE="",IF(TITLE_DATE_PR="","",TITLE_DATE_PR),TITLE_DATE_PR_CHANGE)</f>
        <v/>
      </c>
      <c r="W34" s="795"/>
      <c r="X34" s="795"/>
      <c r="Y34" s="795"/>
      <c r="Z34" s="795"/>
      <c r="AA34" s="795"/>
      <c r="AB34" s="795"/>
      <c r="AD34" s="795" t="str">
        <f>IF(TITLE_DATE_PR_CHANGE="",IF(TITLE_DATE_PR="","",TITLE_DATE_PR),TITLE_DATE_PR_CHANGE)</f>
        <v/>
      </c>
      <c r="AE34" s="795"/>
      <c r="AF34" s="795"/>
      <c r="AG34" s="795"/>
      <c r="AH34" s="795"/>
      <c r="AI34" s="795"/>
      <c r="AJ34" s="795"/>
      <c r="AS34" s="3489">
        <v>0</v>
      </c>
    </row>
    <row customHeight="1" ht="18.75" hidden="1">
      <c r="S35" s="3843" t="s">
        <v>441</v>
      </c>
      <c r="T35" s="3843"/>
      <c r="U35" s="3844"/>
      <c r="V35" s="3806" t="str">
        <f>IF(TITLE_NUMBER_PR_CHANGE="",IF(TITLE_NUMBER_PR="","",TITLE_NUMBER_PR),TITLE_NUMBER_PR_CHANGE)</f>
        <v/>
      </c>
      <c r="W35" s="3806"/>
      <c r="X35" s="3806"/>
      <c r="Y35" s="3806"/>
      <c r="Z35" s="3806"/>
      <c r="AA35" s="3806"/>
      <c r="AB35" s="3806"/>
      <c r="AD35" s="3806" t="str">
        <f>IF(TITLE_NUMBER_PR_CHANGE="",IF(TITLE_NUMBER_PR="","",TITLE_NUMBER_PR),TITLE_NUMBER_PR_CHANGE)</f>
        <v/>
      </c>
      <c r="AE35" s="3806"/>
      <c r="AF35" s="3806"/>
      <c r="AG35" s="3806"/>
      <c r="AH35" s="3806"/>
      <c r="AI35" s="3806"/>
      <c r="AJ35" s="3806"/>
      <c r="AS35" s="3489">
        <v>0</v>
      </c>
    </row>
    <row customHeight="1" ht="0">
      <c r="AC36" s="3473" t="s">
        <v>442</v>
      </c>
      <c r="AK36" s="3473" t="s">
        <v>442</v>
      </c>
      <c r="AS36" s="3489">
        <v>0</v>
      </c>
    </row>
    <row customHeight="1" ht="14.699999999999998">
      <c r="Q37" s="3719"/>
      <c r="R37" s="3719"/>
      <c r="S37" s="3842"/>
      <c r="T37" s="3450"/>
      <c r="U37" s="3845"/>
      <c r="V37" s="3846"/>
      <c r="W37" s="3846"/>
      <c r="X37" s="3846"/>
      <c r="Y37" s="3846"/>
      <c r="Z37" s="3846"/>
      <c r="AA37" s="3846"/>
      <c r="AB37" s="3846"/>
      <c r="AC37" s="3846"/>
      <c r="AD37" s="3846"/>
      <c r="AE37" s="3846"/>
      <c r="AF37" s="3846"/>
      <c r="AG37" s="3846"/>
      <c r="AH37" s="3846"/>
      <c r="AI37" s="3846"/>
      <c r="AJ37" s="3846"/>
      <c r="AK37" s="3846"/>
      <c r="AS37" s="3432">
        <v>14</v>
      </c>
    </row>
    <row customHeight="1" ht="14.699999999999998">
      <c r="Q38" s="3719"/>
      <c r="R38" s="3719"/>
      <c r="S38" s="3480" t="s">
        <v>315</v>
      </c>
      <c r="T38" s="3480"/>
      <c r="U38" s="3480"/>
      <c r="V38" s="3480"/>
      <c r="W38" s="3480"/>
      <c r="X38" s="3480"/>
      <c r="Y38" s="3480"/>
      <c r="Z38" s="3480"/>
      <c r="AA38" s="3480"/>
      <c r="AB38" s="3480"/>
      <c r="AC38" s="3480"/>
      <c r="AD38" s="3480"/>
      <c r="AE38" s="3480"/>
      <c r="AF38" s="3480"/>
      <c r="AG38" s="3480"/>
      <c r="AH38" s="3480"/>
      <c r="AI38" s="3480"/>
      <c r="AJ38" s="3480"/>
      <c r="AK38" s="3480"/>
      <c r="AL38" s="3480"/>
      <c r="AM38" s="3480" t="s">
        <v>316</v>
      </c>
      <c r="AS38" s="3432">
        <v>14</v>
      </c>
    </row>
    <row customHeight="1" ht="14.699999999999998">
      <c r="Q39" s="3719"/>
      <c r="R39" s="3719"/>
      <c r="S39" s="3818" t="s">
        <v>86</v>
      </c>
      <c r="T39" s="3579" t="s">
        <v>443</v>
      </c>
      <c r="U39" s="3793"/>
      <c r="V39" s="3847" t="s">
        <v>444</v>
      </c>
      <c r="W39" s="3848"/>
      <c r="X39" s="3848"/>
      <c r="Y39" s="3848"/>
      <c r="Z39" s="3848"/>
      <c r="AA39" s="3848"/>
      <c r="AB39" s="3849"/>
      <c r="AC39" s="3807" t="s">
        <v>445</v>
      </c>
      <c r="AD39" s="3847" t="s">
        <v>444</v>
      </c>
      <c r="AE39" s="3848"/>
      <c r="AF39" s="3848"/>
      <c r="AG39" s="3848"/>
      <c r="AH39" s="3848"/>
      <c r="AI39" s="3848"/>
      <c r="AJ39" s="3849"/>
      <c r="AK39" s="3807" t="s">
        <v>446</v>
      </c>
      <c r="AL39" s="868" t="s">
        <v>447</v>
      </c>
      <c r="AM39" s="3480"/>
      <c r="AS39" s="3432">
        <v>14</v>
      </c>
    </row>
    <row customHeight="1" ht="35.699999999999996">
      <c r="Q40" s="3719"/>
      <c r="R40" s="3719"/>
      <c r="S40" s="3818"/>
      <c r="T40" s="3579"/>
      <c r="U40" s="3798"/>
      <c r="V40" s="3558" t="s">
        <v>448</v>
      </c>
      <c r="W40" s="3850" t="s">
        <v>449</v>
      </c>
      <c r="X40" s="3437" t="s">
        <v>450</v>
      </c>
      <c r="Y40" s="3436"/>
      <c r="Z40" s="3437" t="s">
        <v>464</v>
      </c>
      <c r="AA40" s="3477"/>
      <c r="AB40" s="3436"/>
      <c r="AC40" s="3851"/>
      <c r="AD40" s="3558" t="s">
        <v>448</v>
      </c>
      <c r="AE40" s="3850" t="s">
        <v>449</v>
      </c>
      <c r="AF40" s="3437" t="s">
        <v>450</v>
      </c>
      <c r="AG40" s="3436"/>
      <c r="AH40" s="3437" t="s">
        <v>451</v>
      </c>
      <c r="AI40" s="3477"/>
      <c r="AJ40" s="3436"/>
      <c r="AK40" s="3851"/>
      <c r="AL40" s="871"/>
      <c r="AM40" s="3480"/>
      <c r="AS40" s="3432">
        <v>34</v>
      </c>
    </row>
    <row customHeight="1" ht="35.699999999999996">
      <c r="B41" s="3510" t="s">
        <v>153</v>
      </c>
      <c r="C41" s="3510" t="s">
        <v>154</v>
      </c>
      <c r="D41" s="3510" t="s">
        <v>155</v>
      </c>
      <c r="E41" s="3881" t="s">
        <v>452</v>
      </c>
      <c r="F41" s="3881" t="s">
        <v>453</v>
      </c>
      <c r="G41" s="3881" t="s">
        <v>454</v>
      </c>
      <c r="H41" s="3881" t="s">
        <v>455</v>
      </c>
      <c r="I41" s="3881" t="s">
        <v>456</v>
      </c>
      <c r="J41" s="3881" t="s">
        <v>457</v>
      </c>
      <c r="K41" s="3881" t="s">
        <v>458</v>
      </c>
      <c r="L41" s="3881" t="s">
        <v>433</v>
      </c>
      <c r="Q41" s="3719"/>
      <c r="R41" s="3719"/>
      <c r="S41" s="3818"/>
      <c r="T41" s="3579"/>
      <c r="U41" s="3852"/>
      <c r="V41" s="3483"/>
      <c r="W41" s="3710"/>
      <c r="X41" s="3525" t="s">
        <v>459</v>
      </c>
      <c r="Y41" s="3525" t="s">
        <v>460</v>
      </c>
      <c r="Z41" s="3525" t="s">
        <v>461</v>
      </c>
      <c r="AA41" s="3626" t="s">
        <v>462</v>
      </c>
      <c r="AB41" s="3628"/>
      <c r="AC41" s="3810"/>
      <c r="AD41" s="3483"/>
      <c r="AE41" s="3710"/>
      <c r="AF41" s="3525" t="s">
        <v>459</v>
      </c>
      <c r="AG41" s="3525" t="s">
        <v>460</v>
      </c>
      <c r="AH41" s="3525" t="s">
        <v>461</v>
      </c>
      <c r="AI41" s="3626" t="s">
        <v>462</v>
      </c>
      <c r="AJ41" s="3628"/>
      <c r="AK41" s="3810"/>
      <c r="AL41" s="873"/>
      <c r="AM41" s="3480"/>
      <c r="AS41" s="3432">
        <v>34</v>
      </c>
    </row>
    <row customHeight="1" ht="11.25" hidden="1">
      <c r="Q42" s="3853"/>
      <c r="R42" s="3854">
        <v>1</v>
      </c>
      <c r="S42" s="876" t="s">
        <v>107</v>
      </c>
      <c r="T42" s="877" t="s">
        <v>108</v>
      </c>
      <c r="U42" s="3855" t="str">
        <f>OFFSET(U42,0,-1)</f>
        <v>2</v>
      </c>
      <c r="V42" s="3856">
        <f>OFFSET(V42,0,-1)+1</f>
        <v>3</v>
      </c>
      <c r="W42" s="3856"/>
      <c r="X42" s="3856">
        <f>OFFSET(X42,0,-1)+1</f>
        <v>1</v>
      </c>
      <c r="Y42" s="3856">
        <f>OFFSET(Y42,0,-1)+1</f>
        <v>2</v>
      </c>
      <c r="Z42" s="3856">
        <f>OFFSET(Z42,0,-1)+1</f>
        <v>3</v>
      </c>
      <c r="AA42" s="3856">
        <f>OFFSET(AA42,0,-1)+1</f>
        <v>4</v>
      </c>
      <c r="AB42" s="3856"/>
      <c r="AC42" s="3856">
        <f>OFFSET(AC42,0,-2)+1</f>
        <v>5</v>
      </c>
      <c r="AD42" s="3856">
        <f>OFFSET(AD42,0,-1)+1</f>
        <v>6</v>
      </c>
      <c r="AE42" s="3856"/>
      <c r="AF42" s="3856">
        <f>OFFSET(AF42,0,-1)+1</f>
        <v>1</v>
      </c>
      <c r="AG42" s="3856">
        <f>OFFSET(AG42,0,-1)+1</f>
        <v>2</v>
      </c>
      <c r="AH42" s="3856">
        <f>OFFSET(AH42,0,-1)+1</f>
        <v>3</v>
      </c>
      <c r="AI42" s="3856">
        <f>OFFSET(AI42,0,-1)+1</f>
        <v>4</v>
      </c>
      <c r="AJ42" s="3856"/>
      <c r="AK42" s="3856">
        <f>OFFSET(AK42,0,-2)+1</f>
        <v>5</v>
      </c>
      <c r="AL42" s="3855">
        <f>OFFSET(AL42,0,-1)</f>
        <v>5</v>
      </c>
      <c r="AM42" s="3856">
        <f>OFFSET(AM42,0,-1)+1</f>
        <v>6</v>
      </c>
      <c r="AS42" s="3637">
        <v>0</v>
      </c>
    </row>
    <row customHeight="1" ht="22.049999999999997">
      <c r="A43" s="3534" t="s">
        <v>227</v>
      </c>
      <c r="E43" s="3879">
        <v>1</v>
      </c>
      <c r="R43" s="816"/>
      <c r="S43" s="3818">
        <f>INDEX(PT_DIFFERENTIATION_NUM_NTAR,MATCH(A43,PT_DIFFERENTIATION_NTAR_ID,0))</f>
        <v>0</v>
      </c>
      <c r="T43" s="3764" t="s">
        <v>141</v>
      </c>
      <c r="U43" s="3819"/>
      <c r="V43" s="3820"/>
      <c r="W43" s="3821"/>
      <c r="X43" s="3821"/>
      <c r="Y43" s="3821"/>
      <c r="Z43" s="3821"/>
      <c r="AA43" s="3821"/>
      <c r="AB43" s="3821"/>
      <c r="AC43" s="3822"/>
      <c r="AD43" s="3820" t="str">
        <f>INDEX(PT_DIFFERENTIATION_NTAR,MATCH(A43,PT_DIFFERENTIATION_NTAR_ID,0))</f>
        <v/>
      </c>
      <c r="AE43" s="3821"/>
      <c r="AF43" s="3821"/>
      <c r="AG43" s="3821"/>
      <c r="AH43" s="3821"/>
      <c r="AI43" s="3821"/>
      <c r="AJ43" s="3821"/>
      <c r="AK43" s="3821"/>
      <c r="AL43" s="3822"/>
      <c r="AM43" s="38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3479" t="str">
        <f>IF(T43="","",T43)</f>
        <v>Наименование тарифа</v>
      </c>
      <c r="AS43" s="3432">
        <v>21</v>
      </c>
    </row>
    <row customHeight="1" ht="22.049999999999997">
      <c r="A44" s="3534" t="s">
        <v>227</v>
      </c>
      <c r="B44" s="3534" t="s">
        <v>228</v>
      </c>
      <c r="E44" s="3880"/>
      <c r="F44" s="3879">
        <v>1</v>
      </c>
      <c r="Q44" s="3825"/>
      <c r="R44" s="3826"/>
      <c r="S44" s="3818" t="str">
        <f>INDEX(PT_DIFFERENTIATION_NUM_TER,MATCH(B44,PT_DIFFERENTIATION_TER_ID,0))</f>
        <v>.</v>
      </c>
      <c r="T44" s="3827" t="s">
        <v>412</v>
      </c>
      <c r="U44" s="3819"/>
      <c r="V44" s="3820"/>
      <c r="W44" s="3821"/>
      <c r="X44" s="3821"/>
      <c r="Y44" s="3821"/>
      <c r="Z44" s="3821"/>
      <c r="AA44" s="3821"/>
      <c r="AB44" s="3821"/>
      <c r="AC44" s="3822"/>
      <c r="AD44" s="3820" t="str">
        <f>INDEX(PT_DIFFERENTIATION_TER,MATCH(B44,PT_DIFFERENTIATION_TER_ID,0))</f>
        <v/>
      </c>
      <c r="AE44" s="3821"/>
      <c r="AF44" s="3821"/>
      <c r="AG44" s="3821"/>
      <c r="AH44" s="3821"/>
      <c r="AI44" s="3821"/>
      <c r="AJ44" s="3821"/>
      <c r="AK44" s="3821"/>
      <c r="AL44" s="3822"/>
      <c r="AM44" s="3823" t="s">
        <v>413</v>
      </c>
      <c r="AP44" s="3479" t="str">
        <f>IF(T44="","",T44)</f>
        <v>Территория действия тарифа</v>
      </c>
      <c r="AS44" s="3432">
        <v>21</v>
      </c>
    </row>
    <row customHeight="1" ht="24">
      <c r="A45" s="3534" t="s">
        <v>227</v>
      </c>
      <c r="B45" s="3534" t="s">
        <v>228</v>
      </c>
      <c r="C45" s="3534" t="s">
        <v>229</v>
      </c>
      <c r="E45" s="3880"/>
      <c r="F45" s="3880"/>
      <c r="G45" s="3879">
        <v>1</v>
      </c>
      <c r="Q45" s="3825"/>
      <c r="R45" s="3826"/>
      <c r="S45" s="3818" t="str">
        <f>INDEX(PT_DIFFERENTIATION_NUM_CS,MATCH(C45,PT_DIFFERENTIATION_CS_ID,0))</f>
        <v>..</v>
      </c>
      <c r="T45" s="3828" t="s">
        <v>414</v>
      </c>
      <c r="U45" s="3819"/>
      <c r="V45" s="3820"/>
      <c r="W45" s="3821"/>
      <c r="X45" s="3821"/>
      <c r="Y45" s="3821"/>
      <c r="Z45" s="3821"/>
      <c r="AA45" s="3821"/>
      <c r="AB45" s="3821"/>
      <c r="AC45" s="3822"/>
      <c r="AD45" s="3820" t="str">
        <f>INDEX(PT_DIFFERENTIATION_CS,MATCH(C45,PT_DIFFERENTIATION_CS_ID,0))</f>
        <v/>
      </c>
      <c r="AE45" s="3821"/>
      <c r="AF45" s="3821"/>
      <c r="AG45" s="3821"/>
      <c r="AH45" s="3821"/>
      <c r="AI45" s="3821"/>
      <c r="AJ45" s="3821"/>
      <c r="AK45" s="3821"/>
      <c r="AL45" s="3822"/>
      <c r="AM45" s="3823" t="s">
        <v>415</v>
      </c>
      <c r="AP45" s="3479" t="str">
        <f>IF(T45="","",T45)</f>
        <v>Наименование системы теплоснабжения </v>
      </c>
      <c r="AS45" s="3432">
        <v>23</v>
      </c>
    </row>
    <row customHeight="1" ht="22.049999999999997">
      <c r="A46" s="3534" t="s">
        <v>227</v>
      </c>
      <c r="B46" s="3534" t="s">
        <v>228</v>
      </c>
      <c r="C46" s="3534" t="s">
        <v>229</v>
      </c>
      <c r="D46" s="3534" t="s">
        <v>230</v>
      </c>
      <c r="E46" s="3880"/>
      <c r="F46" s="3880"/>
      <c r="G46" s="3880"/>
      <c r="H46" s="3879">
        <v>1</v>
      </c>
      <c r="Q46" s="3825"/>
      <c r="R46" s="3826"/>
      <c r="S46" s="3818" t="str">
        <f>INDEX(PT_DIFFERENTIATION_NUM_IST_TE,MATCH(D46,PT_DIFFERENTIATION_IST_TE_ID,0))</f>
        <v>...</v>
      </c>
      <c r="T46" s="3829" t="s">
        <v>416</v>
      </c>
      <c r="U46" s="3819"/>
      <c r="V46" s="3820"/>
      <c r="W46" s="3821"/>
      <c r="X46" s="3821"/>
      <c r="Y46" s="3821"/>
      <c r="Z46" s="3821"/>
      <c r="AA46" s="3821"/>
      <c r="AB46" s="3821"/>
      <c r="AC46" s="3822"/>
      <c r="AD46" s="3820" t="str">
        <f>INDEX(PT_DIFFERENTIATION_IST_TE,MATCH(D46,PT_DIFFERENTIATION_IST_TE_ID,0))</f>
        <v/>
      </c>
      <c r="AE46" s="3821"/>
      <c r="AF46" s="3821"/>
      <c r="AG46" s="3821"/>
      <c r="AH46" s="3821"/>
      <c r="AI46" s="3821"/>
      <c r="AJ46" s="3821"/>
      <c r="AK46" s="3821"/>
      <c r="AL46" s="3822"/>
      <c r="AM46" s="3823" t="s">
        <v>417</v>
      </c>
      <c r="AP46" s="3479" t="str">
        <f>IF(T46="","",T46)</f>
        <v>Источник тепловой энергии  </v>
      </c>
      <c r="AS46" s="3432">
        <v>21</v>
      </c>
    </row>
    <row customHeight="1" ht="49.5">
      <c r="A47" s="3534" t="s">
        <v>227</v>
      </c>
      <c r="B47" s="3534" t="s">
        <v>228</v>
      </c>
      <c r="C47" s="3534" t="s">
        <v>229</v>
      </c>
      <c r="D47" s="3534" t="s">
        <v>230</v>
      </c>
      <c r="E47" s="3880"/>
      <c r="F47" s="3880"/>
      <c r="G47" s="3880"/>
      <c r="H47" s="3880"/>
      <c r="I47" s="3480" t="str">
        <f>S46&amp;".1"</f>
        <v>....1</v>
      </c>
      <c r="L47" s="3881" t="s">
        <v>418</v>
      </c>
      <c r="P47" s="3471">
        <v>1</v>
      </c>
      <c r="R47" s="3831"/>
      <c r="S47" s="3818" t="str">
        <f>$I47</f>
        <v>....1</v>
      </c>
      <c r="T47" s="3832" t="s">
        <v>419</v>
      </c>
      <c r="U47" s="3819"/>
      <c r="V47" s="3638"/>
      <c r="W47" s="3833"/>
      <c r="X47" s="3833"/>
      <c r="Y47" s="3833"/>
      <c r="Z47" s="3833"/>
      <c r="AA47" s="3833"/>
      <c r="AB47" s="3833"/>
      <c r="AC47" s="3834"/>
      <c r="AD47" s="3638"/>
      <c r="AE47" s="3833"/>
      <c r="AF47" s="3833"/>
      <c r="AG47" s="3833"/>
      <c r="AH47" s="3833"/>
      <c r="AI47" s="3833"/>
      <c r="AJ47" s="3833"/>
      <c r="AK47" s="3833"/>
      <c r="AL47" s="3834"/>
      <c r="AM47" s="3823" t="s">
        <v>420</v>
      </c>
      <c r="AP47" s="3479" t="str">
        <f>IF(T47="","",T47)</f>
        <v>Схема подключения теплопотребляющей установки к коллектору источника тепловой энергии</v>
      </c>
      <c r="AS47" s="3432">
        <v>47</v>
      </c>
    </row>
    <row customHeight="1" ht="22.049999999999997">
      <c r="A48" s="3534" t="s">
        <v>227</v>
      </c>
      <c r="B48" s="3534" t="s">
        <v>228</v>
      </c>
      <c r="C48" s="3534" t="s">
        <v>229</v>
      </c>
      <c r="D48" s="3534" t="s">
        <v>230</v>
      </c>
      <c r="E48" s="3880"/>
      <c r="F48" s="3880"/>
      <c r="G48" s="3880"/>
      <c r="H48" s="3880"/>
      <c r="I48" s="3437"/>
      <c r="J48" s="3480" t="str">
        <f>I47&amp;".1"</f>
        <v>....1.1</v>
      </c>
      <c r="L48" s="3881" t="s">
        <v>421</v>
      </c>
      <c r="Q48" s="3471">
        <v>1</v>
      </c>
      <c r="R48" s="3836"/>
      <c r="S48" s="3818" t="str">
        <f>$J48</f>
        <v>....1.1</v>
      </c>
      <c r="T48" s="3837" t="s">
        <v>422</v>
      </c>
      <c r="U48" s="3819"/>
      <c r="V48" s="3638"/>
      <c r="W48" s="3833"/>
      <c r="X48" s="3833"/>
      <c r="Y48" s="3833"/>
      <c r="Z48" s="3833"/>
      <c r="AA48" s="3833"/>
      <c r="AB48" s="3833"/>
      <c r="AC48" s="3834"/>
      <c r="AD48" s="3638"/>
      <c r="AE48" s="3833"/>
      <c r="AF48" s="3833"/>
      <c r="AG48" s="3833"/>
      <c r="AH48" s="3833"/>
      <c r="AI48" s="3833"/>
      <c r="AJ48" s="3833"/>
      <c r="AK48" s="3833"/>
      <c r="AL48" s="3834"/>
      <c r="AM48" s="3823" t="s">
        <v>423</v>
      </c>
      <c r="AP48" s="3479" t="str">
        <f>IF(T48="","",T48)</f>
        <v>Группа потребителей</v>
      </c>
      <c r="AS48" s="3432">
        <v>21</v>
      </c>
    </row>
    <row customHeight="1" ht="22.049999999999997">
      <c r="A49" s="3534" t="s">
        <v>227</v>
      </c>
      <c r="B49" s="3534" t="s">
        <v>228</v>
      </c>
      <c r="C49" s="3534" t="s">
        <v>229</v>
      </c>
      <c r="D49" s="3534" t="s">
        <v>230</v>
      </c>
      <c r="E49" s="3880"/>
      <c r="F49" s="3880"/>
      <c r="G49" s="3880"/>
      <c r="H49" s="3880"/>
      <c r="I49" s="3437"/>
      <c r="J49" s="3437"/>
      <c r="K49" s="3480" t="str">
        <f>J48&amp;".1"</f>
        <v>....1.1.1</v>
      </c>
      <c r="L49" s="3881" t="s">
        <v>424</v>
      </c>
      <c r="R49" s="3836">
        <v>1</v>
      </c>
      <c r="S49" s="3818" t="str">
        <f>$K49</f>
        <v>....1.1.1</v>
      </c>
      <c r="T49" s="3838"/>
      <c r="U49" s="3819"/>
      <c r="V49" s="838"/>
      <c r="W49" s="839"/>
      <c r="X49" s="838"/>
      <c r="Y49" s="840"/>
      <c r="Z49" s="572"/>
      <c r="AA49" s="210" t="s">
        <v>61</v>
      </c>
      <c r="AB49" s="572"/>
      <c r="AC49" s="210" t="s">
        <v>61</v>
      </c>
      <c r="AD49" s="838"/>
      <c r="AE49" s="839"/>
      <c r="AF49" s="838"/>
      <c r="AG49" s="840"/>
      <c r="AH49" s="572"/>
      <c r="AI49" s="210" t="s">
        <v>61</v>
      </c>
      <c r="AJ49" s="881"/>
      <c r="AK49" s="210" t="s">
        <v>61</v>
      </c>
      <c r="AL49" s="882"/>
      <c r="AM49" s="3839" t="s">
        <v>425</v>
      </c>
      <c r="AN49" s="3473">
        <f>STRCHECKDATE(V50:AL50)</f>
      </c>
      <c r="AP49" s="3479" t="str">
        <f>IF(T49="","",T49)</f>
        <v/>
      </c>
      <c r="AS49" s="3432">
        <v>21</v>
      </c>
    </row>
    <row customHeight="1" ht="1.05">
      <c r="A50" s="3534" t="s">
        <v>227</v>
      </c>
      <c r="B50" s="3534" t="s">
        <v>228</v>
      </c>
      <c r="C50" s="3534" t="s">
        <v>229</v>
      </c>
      <c r="D50" s="3534" t="s">
        <v>230</v>
      </c>
      <c r="E50" s="3880"/>
      <c r="F50" s="3880"/>
      <c r="G50" s="3880"/>
      <c r="H50" s="3880"/>
      <c r="I50" s="3437"/>
      <c r="J50" s="3437"/>
      <c r="K50" s="3480"/>
      <c r="R50" s="3836"/>
      <c r="S50" s="421"/>
      <c r="T50" s="3819"/>
      <c r="U50" s="3819"/>
      <c r="V50" s="839"/>
      <c r="W50" s="839"/>
      <c r="X50" s="839"/>
      <c r="Y50" s="842" t="str">
        <f>Z49&amp;"-"&amp;AB49</f>
        <v>-</v>
      </c>
      <c r="Z50" s="573"/>
      <c r="AA50" s="210"/>
      <c r="AB50" s="573"/>
      <c r="AC50" s="210"/>
      <c r="AD50" s="839"/>
      <c r="AE50" s="839"/>
      <c r="AF50" s="839"/>
      <c r="AG50" s="842" t="str">
        <f>AH49&amp;"-"&amp;AJ49</f>
        <v>-</v>
      </c>
      <c r="AH50" s="573"/>
      <c r="AI50" s="210"/>
      <c r="AJ50" s="883"/>
      <c r="AK50" s="210"/>
      <c r="AL50" s="884"/>
      <c r="AM50" s="3840"/>
      <c r="AP50" s="3479" t="str">
        <f>IF(T50="","",T50)</f>
        <v/>
      </c>
      <c r="AS50" s="3432">
        <v>1</v>
      </c>
    </row>
    <row customHeight="1" ht="11.549999999999999">
      <c r="A51" s="3534" t="s">
        <v>227</v>
      </c>
      <c r="B51" s="3534" t="s">
        <v>228</v>
      </c>
      <c r="C51" s="3534" t="s">
        <v>229</v>
      </c>
      <c r="D51" s="3534" t="s">
        <v>230</v>
      </c>
      <c r="E51" s="3880"/>
      <c r="F51" s="3880"/>
      <c r="G51" s="3880"/>
      <c r="H51" s="3880"/>
      <c r="I51" s="3437"/>
      <c r="J51" s="3480"/>
      <c r="R51" s="3831"/>
      <c r="S51" s="844"/>
      <c r="T51" s="845" t="s">
        <v>426</v>
      </c>
      <c r="U51" s="200"/>
      <c r="V51" s="200"/>
      <c r="W51" s="200"/>
      <c r="X51" s="200"/>
      <c r="Y51" s="200"/>
      <c r="Z51" s="200"/>
      <c r="AA51" s="200"/>
      <c r="AB51" s="200"/>
      <c r="AC51" s="200"/>
      <c r="AD51" s="200"/>
      <c r="AE51" s="200"/>
      <c r="AF51" s="200"/>
      <c r="AG51" s="200"/>
      <c r="AH51" s="200"/>
      <c r="AI51" s="200"/>
      <c r="AJ51" s="200"/>
      <c r="AK51" s="200"/>
      <c r="AL51" s="846"/>
      <c r="AM51" s="3841"/>
      <c r="AP51" s="3479" t="str">
        <f>IF(T51="","",T51)</f>
        <v>Добавить вид теплоносителя (параметры теплоносителя)</v>
      </c>
      <c r="AS51" s="3432">
        <v>11</v>
      </c>
    </row>
    <row customHeight="1" ht="11.549999999999999">
      <c r="A52" s="3534" t="s">
        <v>227</v>
      </c>
      <c r="B52" s="3534" t="s">
        <v>228</v>
      </c>
      <c r="C52" s="3534" t="s">
        <v>229</v>
      </c>
      <c r="D52" s="3534" t="s">
        <v>230</v>
      </c>
      <c r="E52" s="3880"/>
      <c r="F52" s="3880"/>
      <c r="G52" s="3880"/>
      <c r="H52" s="3880"/>
      <c r="I52" s="3480"/>
      <c r="R52" s="3831"/>
      <c r="S52" s="844"/>
      <c r="T52" s="848" t="s">
        <v>427</v>
      </c>
      <c r="U52" s="200"/>
      <c r="V52" s="200"/>
      <c r="W52" s="200"/>
      <c r="X52" s="200"/>
      <c r="Y52" s="200"/>
      <c r="Z52" s="200"/>
      <c r="AA52" s="200"/>
      <c r="AB52" s="200"/>
      <c r="AC52" s="849"/>
      <c r="AD52" s="200"/>
      <c r="AE52" s="200"/>
      <c r="AF52" s="200"/>
      <c r="AG52" s="200"/>
      <c r="AH52" s="200"/>
      <c r="AI52" s="200"/>
      <c r="AJ52" s="200"/>
      <c r="AK52" s="849"/>
      <c r="AL52" s="200"/>
      <c r="AM52" s="850"/>
      <c r="AP52" s="3479" t="str">
        <f>IF(T52="","",T52)</f>
        <v>Добавить группу потребителей</v>
      </c>
      <c r="AS52" s="3432">
        <v>11</v>
      </c>
    </row>
    <row customHeight="1" ht="14.699999999999998">
      <c r="A53" s="3534" t="s">
        <v>227</v>
      </c>
      <c r="B53" s="3534" t="s">
        <v>228</v>
      </c>
      <c r="C53" s="3534" t="s">
        <v>229</v>
      </c>
      <c r="D53" s="3534" t="s">
        <v>230</v>
      </c>
      <c r="E53" s="3880"/>
      <c r="F53" s="3880"/>
      <c r="G53" s="3880"/>
      <c r="H53" s="3879"/>
      <c r="R53" s="816"/>
      <c r="S53" s="844"/>
      <c r="T53" s="851" t="s">
        <v>428</v>
      </c>
      <c r="U53" s="200"/>
      <c r="V53" s="200"/>
      <c r="W53" s="200"/>
      <c r="X53" s="200"/>
      <c r="Y53" s="200"/>
      <c r="Z53" s="200"/>
      <c r="AA53" s="200"/>
      <c r="AB53" s="200"/>
      <c r="AC53" s="849"/>
      <c r="AD53" s="200"/>
      <c r="AE53" s="200"/>
      <c r="AF53" s="200"/>
      <c r="AG53" s="200"/>
      <c r="AH53" s="200"/>
      <c r="AI53" s="200"/>
      <c r="AJ53" s="200"/>
      <c r="AK53" s="849"/>
      <c r="AL53" s="200"/>
      <c r="AM53" s="850"/>
      <c r="AP53" s="3479" t="str">
        <f>IF(T53="","",T53)</f>
        <v>Добавить схему подключения</v>
      </c>
      <c r="AS53" s="3432">
        <v>14</v>
      </c>
    </row>
    <row customHeight="1" ht="4.2">
      <c r="A54" s="3888" t="s">
        <v>227</v>
      </c>
      <c r="B54" s="3888" t="s">
        <v>228</v>
      </c>
      <c r="C54" s="3888" t="s">
        <v>229</v>
      </c>
      <c r="E54" s="3880"/>
      <c r="F54" s="3880"/>
      <c r="G54" s="3879"/>
      <c r="T54" s="856" t="s">
        <v>429</v>
      </c>
      <c r="AP54" s="3479" t="str">
        <f>IF(T54="","",T54)</f>
        <v>Добавить источник для дифференциации</v>
      </c>
      <c r="AS54" s="3473">
        <v>4</v>
      </c>
    </row>
    <row customHeight="1" ht="4.2">
      <c r="A55" s="3888" t="s">
        <v>227</v>
      </c>
      <c r="B55" s="3888" t="s">
        <v>228</v>
      </c>
      <c r="E55" s="3880"/>
      <c r="F55" s="3879"/>
      <c r="T55" s="856" t="s">
        <v>430</v>
      </c>
      <c r="AP55" s="3479" t="str">
        <f>IF(T55="","",T55)</f>
        <v>Добавить централизованную систему для дифференциации</v>
      </c>
      <c r="AS55" s="3473">
        <v>4</v>
      </c>
    </row>
    <row customHeight="1" ht="4.2">
      <c r="A56" s="3888" t="s">
        <v>227</v>
      </c>
      <c r="E56" s="3879"/>
      <c r="T56" s="856" t="s">
        <v>431</v>
      </c>
      <c r="AP56" s="3479" t="str">
        <f>IF(T56="","",T56)</f>
        <v>Добавить территорию для дифференциации</v>
      </c>
      <c r="AS56" s="3473">
        <v>4</v>
      </c>
    </row>
    <row customHeight="1" ht="4.2">
      <c r="T57" s="856" t="s">
        <v>463</v>
      </c>
      <c r="AP57" s="3479" t="str">
        <f>IF(T57="","",T57)</f>
        <v>Добавить наименование тарифа</v>
      </c>
      <c r="AS57" s="3473">
        <v>4</v>
      </c>
    </row>
    <row customHeight="1" ht="11.549999999999999">
      <c r="AS58" s="3432">
        <v>11</v>
      </c>
    </row>
    <row customHeight="1" ht="28.5">
      <c r="AS59" s="3432">
        <v>27</v>
      </c>
    </row>
    <row customHeight="1" ht="65.25">
      <c r="AS60" s="3432">
        <v>62</v>
      </c>
    </row>
    <row customHeight="1" ht="14.699999999999998">
      <c r="AS61" s="3432">
        <v>14</v>
      </c>
    </row>
    <row customHeight="1" ht="18.75">
      <c r="AS62" s="3432">
        <v>18</v>
      </c>
    </row>
    <row customHeight="1" ht="18.75">
      <c r="AS63" s="3432">
        <v>18</v>
      </c>
    </row>
    <row customHeight="1" ht="29.25">
      <c r="AS64" s="3432">
        <v>28</v>
      </c>
    </row>
    <row customHeight="1" ht="22.5" hidden="1">
      <c r="A65" s="3432" t="s">
        <v>80</v>
      </c>
      <c r="B65" s="3432">
        <v>0</v>
      </c>
      <c r="C65" s="3432">
        <v>0</v>
      </c>
      <c r="D65" s="3432">
        <v>0</v>
      </c>
      <c r="E65" s="3432">
        <v>0</v>
      </c>
      <c r="F65" s="3432">
        <v>0</v>
      </c>
      <c r="G65" s="3432">
        <v>0</v>
      </c>
      <c r="H65" s="3432">
        <v>0</v>
      </c>
      <c r="I65" s="3432">
        <v>0</v>
      </c>
      <c r="J65" s="3432">
        <v>0</v>
      </c>
      <c r="K65" s="3432">
        <v>0</v>
      </c>
      <c r="L65" s="3455">
        <v>0</v>
      </c>
      <c r="M65" s="782">
        <v>0</v>
      </c>
      <c r="N65" s="782">
        <v>0</v>
      </c>
      <c r="O65" s="782">
        <v>0</v>
      </c>
      <c r="P65" s="782">
        <v>3</v>
      </c>
      <c r="Q65" s="3797">
        <v>3</v>
      </c>
      <c r="R65" s="3797">
        <v>3</v>
      </c>
      <c r="S65" s="3447">
        <v>12</v>
      </c>
      <c r="T65" s="3432">
        <v>31</v>
      </c>
      <c r="U65" s="3432">
        <v>0</v>
      </c>
      <c r="V65" s="3432">
        <v>0</v>
      </c>
      <c r="W65" s="3432">
        <v>0</v>
      </c>
      <c r="X65" s="3432">
        <v>0</v>
      </c>
      <c r="Y65" s="3432">
        <v>0</v>
      </c>
      <c r="Z65" s="3432">
        <v>0</v>
      </c>
      <c r="AA65" s="3432">
        <v>0</v>
      </c>
      <c r="AB65" s="3432">
        <v>0</v>
      </c>
      <c r="AC65" s="3432">
        <v>0</v>
      </c>
      <c r="AD65" s="3432">
        <v>24</v>
      </c>
      <c r="AE65" s="3432">
        <v>0</v>
      </c>
      <c r="AF65" s="3432">
        <v>24</v>
      </c>
      <c r="AG65" s="3432">
        <v>24</v>
      </c>
      <c r="AH65" s="3432">
        <v>11</v>
      </c>
      <c r="AI65" s="3432">
        <v>3</v>
      </c>
      <c r="AJ65" s="3432">
        <v>11</v>
      </c>
      <c r="AK65" s="3432">
        <v>0</v>
      </c>
      <c r="AL65" s="3432">
        <v>4</v>
      </c>
      <c r="AM65" s="3432">
        <v>115</v>
      </c>
      <c r="AN65" s="3473">
        <v>10</v>
      </c>
      <c r="AO65" s="3473">
        <v>10</v>
      </c>
      <c r="AP65" s="3473">
        <v>10</v>
      </c>
      <c r="AQ65" s="3473">
        <v>10</v>
      </c>
      <c r="AR65" s="3473">
        <v>10</v>
      </c>
      <c r="AS65" s="34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0C7EB-0AAC-3EF2-14B6-929C4F5934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1.00390625" customWidth="1"/>
    <col min="21" max="21" style="7348" width="0.140625" customWidth="1"/>
    <col min="22" max="22" style="7348" width="24.7109375" hidden="1" customWidth="1"/>
    <col min="23" max="23" style="7348" width="0.140625" hidden="1" customWidth="1"/>
    <col min="24" max="25" style="7348" width="24.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24.7109375" customWidth="1"/>
    <col min="31" max="31" style="7348" width="0.140625" customWidth="1"/>
    <col min="32" max="33" style="7348" width="24.00390625" customWidth="1"/>
    <col min="34" max="34" style="7348" width="11.00390625" customWidth="1"/>
    <col min="35" max="35" style="7348" width="3.7109375" customWidth="1"/>
    <col min="36" max="36" style="7348" width="11.00390625" customWidth="1"/>
    <col min="37" max="37" style="7348" width="8.57421875" hidden="1" customWidth="1"/>
    <col min="38" max="38" style="7348" width="4.00390625" customWidth="1"/>
    <col min="39" max="39" style="7348" width="115.00390625" customWidth="1"/>
    <col min="40" max="44" style="7348" width="10.00390625" customWidth="1"/>
    <col min="45" max="45" style="7348" width="10.57421875" hidden="1"/>
  </cols>
  <sheetData>
    <row customHeight="1" ht="22.5" hidden="1">
      <c r="AS1" s="3432" t="s">
        <v>14</v>
      </c>
    </row>
    <row customHeight="1" ht="21" hidden="1">
      <c r="E2" s="3879">
        <v>1</v>
      </c>
      <c r="R2" s="816"/>
      <c r="S2" s="3818">
        <f>INDEX(PT_DIFFERENTIATION_NUM_NTAR,MATCH(A2,PT_DIFFERENTIATION_NTAR_ID,0))</f>
      </c>
      <c r="T2" s="3764" t="s">
        <v>141</v>
      </c>
      <c r="U2" s="3819"/>
      <c r="V2" s="3820"/>
      <c r="W2" s="3821"/>
      <c r="X2" s="3821"/>
      <c r="Y2" s="3821"/>
      <c r="Z2" s="3821"/>
      <c r="AA2" s="3821"/>
      <c r="AB2" s="3821"/>
      <c r="AC2" s="3822"/>
      <c r="AD2" s="3820">
        <f>INDEX(PT_DIFFERENTIATION_NTAR,MATCH(A2,PT_DIFFERENTIATION_NTAR_ID,0))</f>
      </c>
      <c r="AE2" s="3821"/>
      <c r="AF2" s="3821"/>
      <c r="AG2" s="3821"/>
      <c r="AH2" s="3821"/>
      <c r="AI2" s="3821"/>
      <c r="AJ2" s="3821"/>
      <c r="AK2" s="3821"/>
      <c r="AL2" s="3822"/>
      <c r="AM2" s="3823" t="s">
        <v>411</v>
      </c>
      <c r="AP2" s="3479" t="str">
        <f>IF(T2="","",T2)</f>
        <v>Наименование тарифа</v>
      </c>
      <c r="AS2" s="3432">
        <v>0</v>
      </c>
    </row>
    <row customHeight="1" ht="21" hidden="1">
      <c r="E3" s="3880"/>
      <c r="F3" s="3879">
        <v>1</v>
      </c>
      <c r="Q3" s="3825"/>
      <c r="R3" s="3826"/>
      <c r="S3" s="3818">
        <f>INDEX(PT_DIFFERENTIATION_NUM_TER,MATCH(B3,PT_DIFFERENTIATION_TER_ID,0))</f>
      </c>
      <c r="T3" s="3827" t="s">
        <v>412</v>
      </c>
      <c r="U3" s="3819"/>
      <c r="V3" s="3820"/>
      <c r="W3" s="3821"/>
      <c r="X3" s="3821"/>
      <c r="Y3" s="3821"/>
      <c r="Z3" s="3821"/>
      <c r="AA3" s="3821"/>
      <c r="AB3" s="3821"/>
      <c r="AC3" s="3822"/>
      <c r="AD3" s="3820">
        <f>INDEX(PT_DIFFERENTIATION_TER,MATCH(B3,PT_DIFFERENTIATION_TER_ID,0))</f>
      </c>
      <c r="AE3" s="3821"/>
      <c r="AF3" s="3821"/>
      <c r="AG3" s="3821"/>
      <c r="AH3" s="3821"/>
      <c r="AI3" s="3821"/>
      <c r="AJ3" s="3821"/>
      <c r="AK3" s="3821"/>
      <c r="AL3" s="3822"/>
      <c r="AM3" s="3823" t="s">
        <v>413</v>
      </c>
      <c r="AP3" s="3479" t="str">
        <f>IF(T3="","",T3)</f>
        <v>Территория действия тарифа</v>
      </c>
      <c r="AS3" s="3432">
        <v>0</v>
      </c>
    </row>
    <row customHeight="1" ht="23.25" hidden="1">
      <c r="E4" s="3880"/>
      <c r="F4" s="3880"/>
      <c r="G4" s="3879">
        <v>1</v>
      </c>
      <c r="Q4" s="3825"/>
      <c r="R4" s="3826"/>
      <c r="S4" s="3818">
        <f>INDEX(PT_DIFFERENTIATION_NUM_CS,MATCH(C4,PT_DIFFERENTIATION_CS_ID,0))</f>
      </c>
      <c r="T4" s="3828" t="s">
        <v>414</v>
      </c>
      <c r="U4" s="3819"/>
      <c r="V4" s="3820"/>
      <c r="W4" s="3821"/>
      <c r="X4" s="3821"/>
      <c r="Y4" s="3821"/>
      <c r="Z4" s="3821"/>
      <c r="AA4" s="3821"/>
      <c r="AB4" s="3821"/>
      <c r="AC4" s="3822"/>
      <c r="AD4" s="3820">
        <f>INDEX(PT_DIFFERENTIATION_CS,MATCH(C4,PT_DIFFERENTIATION_CS_ID,0))</f>
      </c>
      <c r="AE4" s="3821"/>
      <c r="AF4" s="3821"/>
      <c r="AG4" s="3821"/>
      <c r="AH4" s="3821"/>
      <c r="AI4" s="3821"/>
      <c r="AJ4" s="3821"/>
      <c r="AK4" s="3821"/>
      <c r="AL4" s="3822"/>
      <c r="AM4" s="3823" t="s">
        <v>415</v>
      </c>
      <c r="AP4" s="3479" t="str">
        <f>IF(T4="","",T4)</f>
        <v>Наименование системы теплоснабжения </v>
      </c>
      <c r="AS4" s="3432">
        <v>0</v>
      </c>
    </row>
    <row customHeight="1" ht="21" hidden="1">
      <c r="E5" s="3880"/>
      <c r="F5" s="3880"/>
      <c r="G5" s="3880"/>
      <c r="H5" s="3879">
        <v>1</v>
      </c>
      <c r="Q5" s="3825"/>
      <c r="R5" s="3826"/>
      <c r="S5" s="3818">
        <f>INDEX(PT_DIFFERENTIATION_NUM_IST_TE,MATCH(D5,PT_DIFFERENTIATION_IST_TE_ID,0))</f>
      </c>
      <c r="T5" s="3829" t="s">
        <v>416</v>
      </c>
      <c r="U5" s="3819"/>
      <c r="V5" s="3820"/>
      <c r="W5" s="3821"/>
      <c r="X5" s="3821"/>
      <c r="Y5" s="3821"/>
      <c r="Z5" s="3821"/>
      <c r="AA5" s="3821"/>
      <c r="AB5" s="3821"/>
      <c r="AC5" s="3822"/>
      <c r="AD5" s="3820">
        <f>INDEX(PT_DIFFERENTIATION_IST_TE,MATCH(D5,PT_DIFFERENTIATION_IST_TE_ID,0))</f>
      </c>
      <c r="AE5" s="3821"/>
      <c r="AF5" s="3821"/>
      <c r="AG5" s="3821"/>
      <c r="AH5" s="3821"/>
      <c r="AI5" s="3821"/>
      <c r="AJ5" s="3821"/>
      <c r="AK5" s="3821"/>
      <c r="AL5" s="3822"/>
      <c r="AM5" s="3823" t="s">
        <v>417</v>
      </c>
      <c r="AP5" s="3479" t="str">
        <f>IF(T5="","",T5)</f>
        <v>Источник тепловой энергии  </v>
      </c>
      <c r="AS5" s="3432">
        <v>0</v>
      </c>
    </row>
    <row customHeight="1" ht="47.25" hidden="1">
      <c r="E6" s="3880"/>
      <c r="F6" s="3880"/>
      <c r="G6" s="3880"/>
      <c r="H6" s="3880"/>
      <c r="I6" s="3480">
        <f>S5&amp;".1"</f>
      </c>
      <c r="L6" s="3881" t="s">
        <v>418</v>
      </c>
      <c r="P6" s="3471">
        <v>1</v>
      </c>
      <c r="R6" s="3831"/>
      <c r="S6" s="3818">
        <f>$I6</f>
      </c>
      <c r="T6" s="3832" t="s">
        <v>419</v>
      </c>
      <c r="U6" s="3819"/>
      <c r="V6" s="3638"/>
      <c r="W6" s="3833"/>
      <c r="X6" s="3833"/>
      <c r="Y6" s="3833"/>
      <c r="Z6" s="3833"/>
      <c r="AA6" s="3833"/>
      <c r="AB6" s="3833"/>
      <c r="AC6" s="3834"/>
      <c r="AD6" s="3638"/>
      <c r="AE6" s="3833"/>
      <c r="AF6" s="3833"/>
      <c r="AG6" s="3833"/>
      <c r="AH6" s="3833"/>
      <c r="AI6" s="3833"/>
      <c r="AJ6" s="3833"/>
      <c r="AK6" s="3833"/>
      <c r="AL6" s="3834"/>
      <c r="AM6" s="3823" t="s">
        <v>420</v>
      </c>
      <c r="AP6" s="3479" t="str">
        <f>IF(T6="","",T6)</f>
        <v>Схема подключения теплопотребляющей установки к коллектору источника тепловой энергии</v>
      </c>
      <c r="AS6" s="3432">
        <v>0</v>
      </c>
    </row>
    <row customHeight="1" ht="21" hidden="1">
      <c r="E7" s="3880"/>
      <c r="F7" s="3880"/>
      <c r="G7" s="3880"/>
      <c r="H7" s="3880"/>
      <c r="I7" s="3437"/>
      <c r="J7" s="3480">
        <f>I6&amp;".1"</f>
      </c>
      <c r="L7" s="3881" t="s">
        <v>421</v>
      </c>
      <c r="Q7" s="3471">
        <v>1</v>
      </c>
      <c r="R7" s="3836"/>
      <c r="S7" s="3818">
        <f>$J7</f>
      </c>
      <c r="T7" s="3837" t="s">
        <v>422</v>
      </c>
      <c r="U7" s="3819"/>
      <c r="V7" s="3638"/>
      <c r="W7" s="3833"/>
      <c r="X7" s="3833"/>
      <c r="Y7" s="3833"/>
      <c r="Z7" s="3833"/>
      <c r="AA7" s="3833"/>
      <c r="AB7" s="3833"/>
      <c r="AC7" s="3834"/>
      <c r="AD7" s="3638"/>
      <c r="AE7" s="3833"/>
      <c r="AF7" s="3833"/>
      <c r="AG7" s="3833"/>
      <c r="AH7" s="3833"/>
      <c r="AI7" s="3833"/>
      <c r="AJ7" s="3833"/>
      <c r="AK7" s="3833"/>
      <c r="AL7" s="3834"/>
      <c r="AM7" s="3823" t="s">
        <v>423</v>
      </c>
      <c r="AP7" s="3479" t="str">
        <f>IF(T7="","",T7)</f>
        <v>Группа потребителей</v>
      </c>
      <c r="AS7" s="3432">
        <v>0</v>
      </c>
    </row>
    <row customHeight="1" ht="21" hidden="1">
      <c r="E8" s="3880"/>
      <c r="F8" s="3880"/>
      <c r="G8" s="3880"/>
      <c r="H8" s="3880"/>
      <c r="I8" s="3437"/>
      <c r="J8" s="3437"/>
      <c r="K8" s="3480">
        <f>J7&amp;".1"</f>
      </c>
      <c r="L8" s="3881" t="s">
        <v>424</v>
      </c>
      <c r="R8" s="3836">
        <v>1</v>
      </c>
      <c r="S8" s="3818">
        <f>$K8</f>
      </c>
      <c r="T8" s="3838"/>
      <c r="U8" s="3819"/>
      <c r="V8" s="838"/>
      <c r="W8" s="839"/>
      <c r="X8" s="838"/>
      <c r="Y8" s="840"/>
      <c r="Z8" s="572"/>
      <c r="AA8" s="210" t="s">
        <v>61</v>
      </c>
      <c r="AB8" s="572"/>
      <c r="AC8" s="210" t="s">
        <v>61</v>
      </c>
      <c r="AD8" s="838"/>
      <c r="AE8" s="839"/>
      <c r="AF8" s="838"/>
      <c r="AG8" s="840"/>
      <c r="AH8" s="572"/>
      <c r="AI8" s="210" t="s">
        <v>61</v>
      </c>
      <c r="AJ8" s="572"/>
      <c r="AK8" s="210" t="s">
        <v>61</v>
      </c>
      <c r="AL8" s="839"/>
      <c r="AM8" s="3839" t="s">
        <v>425</v>
      </c>
      <c r="AN8" s="3473">
        <f>STRCHECKDATE(V9:AL9)</f>
      </c>
      <c r="AP8" s="3479" t="str">
        <f>IF(T8="","",T8)</f>
        <v/>
      </c>
      <c r="AS8" s="3432">
        <v>0</v>
      </c>
    </row>
    <row customHeight="1" ht="0.75" hidden="1">
      <c r="E9" s="3880"/>
      <c r="F9" s="3880"/>
      <c r="G9" s="3880"/>
      <c r="H9" s="3880"/>
      <c r="I9" s="3437"/>
      <c r="J9" s="3437"/>
      <c r="K9" s="3480"/>
      <c r="R9" s="3836"/>
      <c r="S9" s="421"/>
      <c r="T9" s="3819"/>
      <c r="U9" s="3819"/>
      <c r="V9" s="839"/>
      <c r="W9" s="839"/>
      <c r="X9" s="839"/>
      <c r="Y9" s="842" t="str">
        <f>Z8&amp;"-"&amp;AB8</f>
        <v>-</v>
      </c>
      <c r="Z9" s="573"/>
      <c r="AA9" s="210"/>
      <c r="AB9" s="573"/>
      <c r="AC9" s="210"/>
      <c r="AD9" s="839"/>
      <c r="AE9" s="839"/>
      <c r="AF9" s="839"/>
      <c r="AG9" s="842" t="str">
        <f>AH8&amp;"-"&amp;AJ8</f>
        <v>-</v>
      </c>
      <c r="AH9" s="573"/>
      <c r="AI9" s="210"/>
      <c r="AJ9" s="573"/>
      <c r="AK9" s="210"/>
      <c r="AL9" s="839"/>
      <c r="AM9" s="3840"/>
      <c r="AP9" s="3479" t="str">
        <f>IF(T9="","",T9)</f>
        <v/>
      </c>
      <c r="AS9" s="3432">
        <v>0</v>
      </c>
    </row>
    <row customHeight="1" ht="15" hidden="1">
      <c r="E10" s="3880"/>
      <c r="F10" s="3880"/>
      <c r="G10" s="3880"/>
      <c r="H10" s="3880"/>
      <c r="I10" s="3437"/>
      <c r="J10" s="3480"/>
      <c r="R10" s="3831"/>
      <c r="S10" s="844"/>
      <c r="T10" s="845" t="s">
        <v>426</v>
      </c>
      <c r="U10" s="200"/>
      <c r="V10" s="200"/>
      <c r="W10" s="200"/>
      <c r="X10" s="200"/>
      <c r="Y10" s="200"/>
      <c r="Z10" s="200"/>
      <c r="AA10" s="200"/>
      <c r="AB10" s="200"/>
      <c r="AC10" s="200"/>
      <c r="AD10" s="200"/>
      <c r="AE10" s="200"/>
      <c r="AF10" s="200"/>
      <c r="AG10" s="200"/>
      <c r="AH10" s="200"/>
      <c r="AI10" s="200"/>
      <c r="AJ10" s="200"/>
      <c r="AK10" s="200"/>
      <c r="AL10" s="846"/>
      <c r="AM10" s="3841"/>
      <c r="AP10" s="3479" t="str">
        <f>IF(T10="","",T10)</f>
        <v>Добавить вид теплоносителя (параметры теплоносителя)</v>
      </c>
      <c r="AS10" s="3432">
        <v>0</v>
      </c>
    </row>
    <row customHeight="1" ht="15" hidden="1">
      <c r="E11" s="3880"/>
      <c r="F11" s="3880"/>
      <c r="G11" s="3880"/>
      <c r="H11" s="3880"/>
      <c r="I11" s="3480"/>
      <c r="R11" s="3831"/>
      <c r="S11" s="844"/>
      <c r="T11" s="848" t="s">
        <v>427</v>
      </c>
      <c r="U11" s="200"/>
      <c r="V11" s="200"/>
      <c r="W11" s="200"/>
      <c r="X11" s="200"/>
      <c r="Y11" s="200"/>
      <c r="Z11" s="200"/>
      <c r="AA11" s="200"/>
      <c r="AB11" s="200"/>
      <c r="AC11" s="849"/>
      <c r="AD11" s="200"/>
      <c r="AE11" s="200"/>
      <c r="AF11" s="200"/>
      <c r="AG11" s="200"/>
      <c r="AH11" s="200"/>
      <c r="AI11" s="200"/>
      <c r="AJ11" s="200"/>
      <c r="AK11" s="849"/>
      <c r="AL11" s="200"/>
      <c r="AM11" s="850"/>
      <c r="AP11" s="3479" t="str">
        <f>IF(T11="","",T11)</f>
        <v>Добавить группу потребителей</v>
      </c>
      <c r="AS11" s="3432">
        <v>0</v>
      </c>
    </row>
    <row customHeight="1" ht="14.25" hidden="1">
      <c r="E12" s="3880"/>
      <c r="F12" s="3880"/>
      <c r="G12" s="3880"/>
      <c r="H12" s="3879"/>
      <c r="R12" s="816"/>
      <c r="S12" s="844"/>
      <c r="T12" s="851" t="s">
        <v>428</v>
      </c>
      <c r="U12" s="200"/>
      <c r="V12" s="200"/>
      <c r="W12" s="200"/>
      <c r="X12" s="200"/>
      <c r="Y12" s="200"/>
      <c r="Z12" s="200"/>
      <c r="AA12" s="200"/>
      <c r="AB12" s="200"/>
      <c r="AC12" s="849"/>
      <c r="AD12" s="200"/>
      <c r="AE12" s="200"/>
      <c r="AF12" s="200"/>
      <c r="AG12" s="200"/>
      <c r="AH12" s="200"/>
      <c r="AI12" s="200"/>
      <c r="AJ12" s="200"/>
      <c r="AK12" s="849"/>
      <c r="AL12" s="200"/>
      <c r="AM12" s="850"/>
      <c r="AP12" s="3479" t="str">
        <f>IF(T12="","",T12)</f>
        <v>Добавить схему подключения</v>
      </c>
      <c r="AS12" s="3432">
        <v>0</v>
      </c>
    </row>
    <row customHeight="1" ht="0.75" hidden="1">
      <c r="E13" s="3880"/>
      <c r="F13" s="3880"/>
      <c r="G13" s="3879"/>
      <c r="S13" s="852"/>
      <c r="T13" s="853" t="s">
        <v>429</v>
      </c>
      <c r="U13" s="854"/>
      <c r="V13" s="854"/>
      <c r="W13" s="854"/>
      <c r="X13" s="854"/>
      <c r="Y13" s="854"/>
      <c r="Z13" s="854"/>
      <c r="AA13" s="854"/>
      <c r="AB13" s="854"/>
      <c r="AC13" s="854"/>
      <c r="AD13" s="854"/>
      <c r="AE13" s="854"/>
      <c r="AF13" s="854"/>
      <c r="AG13" s="854"/>
      <c r="AH13" s="854"/>
      <c r="AI13" s="854"/>
      <c r="AJ13" s="854"/>
      <c r="AK13" s="854"/>
      <c r="AL13" s="854"/>
      <c r="AM13" s="854"/>
      <c r="AP13" s="3479" t="str">
        <f>IF(T13="","",T13)</f>
        <v>Добавить источник для дифференциации</v>
      </c>
      <c r="AS13" s="3473">
        <v>0</v>
      </c>
    </row>
    <row customHeight="1" ht="0.75" hidden="1">
      <c r="E14" s="3880"/>
      <c r="F14" s="3879"/>
      <c r="T14" s="855" t="s">
        <v>430</v>
      </c>
      <c r="AP14" s="3479" t="str">
        <f>IF(T14="","",T14)</f>
        <v>Добавить централизованную систему для дифференциации</v>
      </c>
      <c r="AS14" s="3473">
        <v>0</v>
      </c>
    </row>
    <row customHeight="1" ht="0.75" hidden="1">
      <c r="E15" s="3879"/>
      <c r="T15" s="856" t="s">
        <v>431</v>
      </c>
      <c r="AP15" s="3479" t="str">
        <f>IF(T15="","",T15)</f>
        <v>Добавить территорию для дифференциации</v>
      </c>
      <c r="AS15" s="3473">
        <v>0</v>
      </c>
    </row>
    <row customHeight="1" ht="14.25" hidden="1">
      <c r="AS16" s="3432">
        <v>0</v>
      </c>
    </row>
    <row customHeight="1" ht="14.25" hidden="1">
      <c r="AD17" s="719"/>
      <c r="AE17" s="719"/>
      <c r="AF17" s="719"/>
      <c r="AG17" s="857"/>
      <c r="AH17" s="858"/>
      <c r="AI17" s="616" t="s">
        <v>61</v>
      </c>
      <c r="AJ17" s="858"/>
      <c r="AK17" s="616" t="s">
        <v>61</v>
      </c>
      <c r="AS17" s="3432">
        <v>0</v>
      </c>
    </row>
    <row customHeight="1" ht="14.25" hidden="1">
      <c r="AD18" s="719"/>
      <c r="AE18" s="719"/>
      <c r="AF18" s="719"/>
      <c r="AG18" s="842" t="str">
        <f>AH17&amp;"-"&amp;AJ17</f>
        <v>-</v>
      </c>
      <c r="AH18" s="616"/>
      <c r="AI18" s="616"/>
      <c r="AJ18" s="616"/>
      <c r="AK18" s="616"/>
      <c r="AS18" s="3432">
        <v>0</v>
      </c>
    </row>
    <row customHeight="1" ht="14.25" hidden="1">
      <c r="AS19" s="3432">
        <v>0</v>
      </c>
    </row>
    <row customHeight="1" ht="14.25" hidden="1">
      <c r="O20" s="929" t="s">
        <v>432</v>
      </c>
      <c r="Z20" s="859"/>
      <c r="AB20" s="859"/>
      <c r="AH20" s="859"/>
      <c r="AJ20" s="859"/>
      <c r="AS20" s="3449">
        <v>0</v>
      </c>
    </row>
    <row customHeight="1" ht="14.25" hidden="1">
      <c r="AS21" s="3449">
        <v>0</v>
      </c>
    </row>
    <row customHeight="1" ht="14.25" hidden="1">
      <c r="O22" s="3881" t="s">
        <v>433</v>
      </c>
      <c r="T22" s="3449" t="s">
        <v>434</v>
      </c>
      <c r="AA22" s="3511" t="s">
        <v>435</v>
      </c>
      <c r="AC22" s="3511" t="s">
        <v>436</v>
      </c>
      <c r="AD22" s="3449" t="s">
        <v>434</v>
      </c>
      <c r="AI22" s="3511" t="s">
        <v>437</v>
      </c>
      <c r="AK22" s="3511" t="s">
        <v>436</v>
      </c>
      <c r="AS22" s="3449">
        <v>0</v>
      </c>
    </row>
    <row customHeight="1" ht="14.25" hidden="1">
      <c r="AS23" s="3432">
        <v>0</v>
      </c>
    </row>
    <row customHeight="1" ht="14.25" hidden="1">
      <c r="AS24" s="3432">
        <v>0</v>
      </c>
    </row>
    <row customHeight="1" ht="14.699999999999998">
      <c r="Q25" s="3719"/>
      <c r="R25" s="3719"/>
      <c r="S25" s="3842"/>
      <c r="T25" s="3450"/>
      <c r="U25" s="3450"/>
      <c r="AS25" s="3432">
        <v>14</v>
      </c>
    </row>
    <row customHeight="1" ht="14.699999999999998">
      <c r="Q26" s="3719"/>
      <c r="R26" s="3719"/>
      <c r="S26" s="3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46"/>
      <c r="U26" s="3646"/>
      <c r="V26" s="3646"/>
      <c r="W26" s="3646"/>
      <c r="X26" s="3646"/>
      <c r="Y26" s="3646"/>
      <c r="Z26" s="3646"/>
      <c r="AA26" s="3646"/>
      <c r="AB26" s="3646"/>
      <c r="AC26" s="3646"/>
      <c r="AD26" s="3646"/>
      <c r="AE26" s="3646"/>
      <c r="AF26" s="3646"/>
      <c r="AG26" s="3646"/>
      <c r="AH26" s="3646"/>
      <c r="AI26" s="3646"/>
      <c r="AJ26" s="3646"/>
      <c r="AS26" s="3432">
        <v>14</v>
      </c>
    </row>
    <row customHeight="1" ht="14.699999999999998">
      <c r="Q27" s="3719"/>
      <c r="R27" s="3719"/>
      <c r="S27" s="3554" t="str">
        <f>IF(org=0,"Не определено",org)</f>
        <v>ООО "ТеплоЭлектроГенерирующая Компания"</v>
      </c>
      <c r="T27" s="3554"/>
      <c r="U27" s="3554"/>
      <c r="V27" s="3554"/>
      <c r="W27" s="3554"/>
      <c r="X27" s="3554"/>
      <c r="Y27" s="3554"/>
      <c r="Z27" s="3554"/>
      <c r="AA27" s="3554"/>
      <c r="AB27" s="3554"/>
      <c r="AC27" s="3554"/>
      <c r="AD27" s="3554"/>
      <c r="AE27" s="3554"/>
      <c r="AF27" s="3554"/>
      <c r="AG27" s="3554"/>
      <c r="AH27" s="3554"/>
      <c r="AI27" s="3554"/>
      <c r="AJ27" s="3554"/>
      <c r="AS27" s="3432">
        <v>14</v>
      </c>
    </row>
    <row customHeight="1" ht="14.25" hidden="1">
      <c r="Q28" s="3719"/>
      <c r="R28" s="3719"/>
      <c r="S28" s="3842"/>
      <c r="T28" s="3450"/>
      <c r="U28" s="3450"/>
      <c r="V28" s="3804"/>
      <c r="W28" s="3804"/>
      <c r="X28" s="3804"/>
      <c r="Y28" s="3804"/>
      <c r="Z28" s="3804"/>
      <c r="AA28" s="3804"/>
      <c r="AB28" s="3804"/>
      <c r="AC28" s="3804"/>
      <c r="AD28" s="3804"/>
      <c r="AE28" s="3804"/>
      <c r="AF28" s="3804"/>
      <c r="AG28" s="3804"/>
      <c r="AH28" s="3804"/>
      <c r="AI28" s="3804"/>
      <c r="AJ28" s="3804"/>
      <c r="AK28" s="3804"/>
      <c r="AS28" s="3432">
        <v>0</v>
      </c>
    </row>
    <row customHeight="1" ht="25.5" hidden="1">
      <c r="S29" s="3843" t="s">
        <v>41</v>
      </c>
      <c r="T29" s="3843"/>
      <c r="U29" s="3844"/>
      <c r="V29" s="3806" t="str">
        <f>IF(TITLE_NAME_OR_PR_CHANGE="",IF(TITLE_NAME_OR_PR="","",TITLE_NAME_OR_PR),TITLE_NAME_OR_PR_CHANGE)</f>
        <v/>
      </c>
      <c r="W29" s="3806"/>
      <c r="X29" s="3806"/>
      <c r="Y29" s="3806"/>
      <c r="Z29" s="3806"/>
      <c r="AA29" s="3806"/>
      <c r="AB29" s="3806"/>
      <c r="AD29" s="3806" t="str">
        <f>IF(TITLE_NAME_OR_PR_CHANGE="",IF(TITLE_NAME_OR_PR="","",TITLE_NAME_OR_PR),TITLE_NAME_OR_PR_CHANGE)</f>
        <v/>
      </c>
      <c r="AE29" s="3806"/>
      <c r="AF29" s="3806"/>
      <c r="AG29" s="3806"/>
      <c r="AH29" s="3806"/>
      <c r="AI29" s="3806"/>
      <c r="AJ29" s="3806"/>
      <c r="AS29" s="3489">
        <v>0</v>
      </c>
    </row>
    <row customHeight="1" ht="18.75" hidden="1">
      <c r="S30" s="3843" t="s">
        <v>438</v>
      </c>
      <c r="T30" s="3843"/>
      <c r="U30" s="3844"/>
      <c r="V30" s="795" t="str">
        <f>IF(TITLE_DATE_PR_CHANGE="",IF(TITLE_DATE_PR="","",TITLE_DATE_PR),TITLE_DATE_PR_CHANGE)</f>
        <v/>
      </c>
      <c r="W30" s="795"/>
      <c r="X30" s="795"/>
      <c r="Y30" s="795"/>
      <c r="Z30" s="795"/>
      <c r="AA30" s="795"/>
      <c r="AB30" s="795"/>
      <c r="AD30" s="795" t="str">
        <f>IF(TITLE_DATE_PR_CHANGE="",IF(TITLE_DATE_PR="","",TITLE_DATE_PR),TITLE_DATE_PR_CHANGE)</f>
        <v/>
      </c>
      <c r="AE30" s="795"/>
      <c r="AF30" s="795"/>
      <c r="AG30" s="795"/>
      <c r="AH30" s="795"/>
      <c r="AI30" s="795"/>
      <c r="AJ30" s="795"/>
      <c r="AS30" s="3489">
        <v>0</v>
      </c>
    </row>
    <row customHeight="1" ht="18.75" hidden="1">
      <c r="S31" s="3843" t="s">
        <v>439</v>
      </c>
      <c r="T31" s="3843"/>
      <c r="U31" s="3844"/>
      <c r="V31" s="3806" t="str">
        <f>IF(TITLE_NUMBER_PR_CHANGE="",IF(TITLE_NUMBER_PR="","",TITLE_NUMBER_PR),TITLE_NUMBER_PR_CHANGE)</f>
        <v/>
      </c>
      <c r="W31" s="3806"/>
      <c r="X31" s="3806"/>
      <c r="Y31" s="3806"/>
      <c r="Z31" s="3806"/>
      <c r="AA31" s="3806"/>
      <c r="AB31" s="3806"/>
      <c r="AD31" s="3806" t="str">
        <f>IF(TITLE_NUMBER_PR_CHANGE="",IF(TITLE_NUMBER_PR="","",TITLE_NUMBER_PR),TITLE_NUMBER_PR_CHANGE)</f>
        <v/>
      </c>
      <c r="AE31" s="3806"/>
      <c r="AF31" s="3806"/>
      <c r="AG31" s="3806"/>
      <c r="AH31" s="3806"/>
      <c r="AI31" s="3806"/>
      <c r="AJ31" s="3806"/>
      <c r="AS31" s="3489">
        <v>0</v>
      </c>
    </row>
    <row customHeight="1" ht="18.75" hidden="1">
      <c r="S32" s="3843" t="s">
        <v>42</v>
      </c>
      <c r="T32" s="3843"/>
      <c r="U32" s="3844"/>
      <c r="V32" s="3806" t="str">
        <f>IF(TITLE_IST_PUB_CHANGE="",IF(TITLE_IST_PUB="","",TITLE_IST_PUB),TITLE_IST_PUB_CHANGE)</f>
        <v/>
      </c>
      <c r="W32" s="3806"/>
      <c r="X32" s="3806"/>
      <c r="Y32" s="3806"/>
      <c r="Z32" s="3806"/>
      <c r="AA32" s="3806"/>
      <c r="AB32" s="3806"/>
      <c r="AD32" s="3806" t="str">
        <f>IF(TITLE_IST_PUB_CHANGE="",IF(TITLE_IST_PUB="","",TITLE_IST_PUB),TITLE_IST_PUB_CHANGE)</f>
        <v/>
      </c>
      <c r="AE32" s="3806"/>
      <c r="AF32" s="3806"/>
      <c r="AG32" s="3806"/>
      <c r="AH32" s="3806"/>
      <c r="AI32" s="3806"/>
      <c r="AJ32" s="3806"/>
      <c r="AS32" s="3489">
        <v>0</v>
      </c>
    </row>
    <row customHeight="1" ht="14.25" hidden="1">
      <c r="Q33" s="3719"/>
      <c r="R33" s="3719"/>
      <c r="S33" s="3842"/>
      <c r="T33" s="3450"/>
      <c r="U33" s="3450"/>
      <c r="V33" s="3804"/>
      <c r="W33" s="3804"/>
      <c r="X33" s="3804"/>
      <c r="Y33" s="3804"/>
      <c r="Z33" s="3804"/>
      <c r="AA33" s="3804"/>
      <c r="AB33" s="3804"/>
      <c r="AC33" s="3804"/>
      <c r="AD33" s="3804"/>
      <c r="AE33" s="3804"/>
      <c r="AF33" s="3804"/>
      <c r="AG33" s="3804"/>
      <c r="AH33" s="3804"/>
      <c r="AI33" s="3804"/>
      <c r="AJ33" s="3804"/>
      <c r="AK33" s="3804"/>
      <c r="AS33" s="3432">
        <v>0</v>
      </c>
    </row>
    <row customHeight="1" ht="18.75" hidden="1">
      <c r="S34" s="3843" t="s">
        <v>440</v>
      </c>
      <c r="T34" s="3843"/>
      <c r="U34" s="3844"/>
      <c r="V34" s="795" t="str">
        <f>IF(TITLE_DATE_PR_CHANGE="",IF(TITLE_DATE_PR="","",TITLE_DATE_PR),TITLE_DATE_PR_CHANGE)</f>
        <v/>
      </c>
      <c r="W34" s="795"/>
      <c r="X34" s="795"/>
      <c r="Y34" s="795"/>
      <c r="Z34" s="795"/>
      <c r="AA34" s="795"/>
      <c r="AB34" s="795"/>
      <c r="AD34" s="795" t="str">
        <f>IF(TITLE_DATE_PR_CHANGE="",IF(TITLE_DATE_PR="","",TITLE_DATE_PR),TITLE_DATE_PR_CHANGE)</f>
        <v/>
      </c>
      <c r="AE34" s="795"/>
      <c r="AF34" s="795"/>
      <c r="AG34" s="795"/>
      <c r="AH34" s="795"/>
      <c r="AI34" s="795"/>
      <c r="AJ34" s="795"/>
      <c r="AS34" s="3489">
        <v>0</v>
      </c>
    </row>
    <row customHeight="1" ht="18.75" hidden="1">
      <c r="S35" s="3843" t="s">
        <v>441</v>
      </c>
      <c r="T35" s="3843"/>
      <c r="U35" s="3844"/>
      <c r="V35" s="3806" t="str">
        <f>IF(TITLE_NUMBER_PR_CHANGE="",IF(TITLE_NUMBER_PR="","",TITLE_NUMBER_PR),TITLE_NUMBER_PR_CHANGE)</f>
        <v/>
      </c>
      <c r="W35" s="3806"/>
      <c r="X35" s="3806"/>
      <c r="Y35" s="3806"/>
      <c r="Z35" s="3806"/>
      <c r="AA35" s="3806"/>
      <c r="AB35" s="3806"/>
      <c r="AD35" s="3806" t="str">
        <f>IF(TITLE_NUMBER_PR_CHANGE="",IF(TITLE_NUMBER_PR="","",TITLE_NUMBER_PR),TITLE_NUMBER_PR_CHANGE)</f>
        <v/>
      </c>
      <c r="AE35" s="3806"/>
      <c r="AF35" s="3806"/>
      <c r="AG35" s="3806"/>
      <c r="AH35" s="3806"/>
      <c r="AI35" s="3806"/>
      <c r="AJ35" s="3806"/>
      <c r="AS35" s="3489">
        <v>0</v>
      </c>
    </row>
    <row customHeight="1" ht="0">
      <c r="AC36" s="3473" t="s">
        <v>442</v>
      </c>
      <c r="AK36" s="3473" t="s">
        <v>442</v>
      </c>
      <c r="AS36" s="3489">
        <v>0</v>
      </c>
    </row>
    <row customHeight="1" ht="14.699999999999998">
      <c r="Q37" s="3719"/>
      <c r="R37" s="3719"/>
      <c r="S37" s="3842"/>
      <c r="T37" s="3450"/>
      <c r="U37" s="3845"/>
      <c r="V37" s="3846"/>
      <c r="W37" s="3846"/>
      <c r="X37" s="3846"/>
      <c r="Y37" s="3846"/>
      <c r="Z37" s="3846"/>
      <c r="AA37" s="3846"/>
      <c r="AB37" s="3846"/>
      <c r="AC37" s="3846"/>
      <c r="AD37" s="3846"/>
      <c r="AE37" s="3846"/>
      <c r="AF37" s="3846"/>
      <c r="AG37" s="3846"/>
      <c r="AH37" s="3846"/>
      <c r="AI37" s="3846"/>
      <c r="AJ37" s="3846"/>
      <c r="AK37" s="3846"/>
      <c r="AS37" s="3432">
        <v>14</v>
      </c>
    </row>
    <row customHeight="1" ht="14.699999999999998">
      <c r="Q38" s="3719"/>
      <c r="R38" s="3719"/>
      <c r="S38" s="3480" t="s">
        <v>315</v>
      </c>
      <c r="T38" s="3480"/>
      <c r="U38" s="3480"/>
      <c r="V38" s="3480"/>
      <c r="W38" s="3480"/>
      <c r="X38" s="3480"/>
      <c r="Y38" s="3480"/>
      <c r="Z38" s="3480"/>
      <c r="AA38" s="3480"/>
      <c r="AB38" s="3480"/>
      <c r="AC38" s="3480"/>
      <c r="AD38" s="3480"/>
      <c r="AE38" s="3480"/>
      <c r="AF38" s="3480"/>
      <c r="AG38" s="3480"/>
      <c r="AH38" s="3480"/>
      <c r="AI38" s="3480"/>
      <c r="AJ38" s="3480"/>
      <c r="AK38" s="3480"/>
      <c r="AL38" s="3480"/>
      <c r="AM38" s="3480" t="s">
        <v>316</v>
      </c>
      <c r="AS38" s="3432">
        <v>14</v>
      </c>
    </row>
    <row customHeight="1" ht="14.699999999999998">
      <c r="Q39" s="3719"/>
      <c r="R39" s="3719"/>
      <c r="S39" s="3818" t="s">
        <v>86</v>
      </c>
      <c r="T39" s="3579" t="s">
        <v>443</v>
      </c>
      <c r="U39" s="3793"/>
      <c r="V39" s="3847" t="s">
        <v>444</v>
      </c>
      <c r="W39" s="3848"/>
      <c r="X39" s="3848"/>
      <c r="Y39" s="3848"/>
      <c r="Z39" s="3848"/>
      <c r="AA39" s="3848"/>
      <c r="AB39" s="3849"/>
      <c r="AC39" s="3807" t="s">
        <v>445</v>
      </c>
      <c r="AD39" s="3847" t="s">
        <v>444</v>
      </c>
      <c r="AE39" s="3848"/>
      <c r="AF39" s="3848"/>
      <c r="AG39" s="3848"/>
      <c r="AH39" s="3848"/>
      <c r="AI39" s="3848"/>
      <c r="AJ39" s="3849"/>
      <c r="AK39" s="3807" t="s">
        <v>446</v>
      </c>
      <c r="AL39" s="868" t="s">
        <v>447</v>
      </c>
      <c r="AM39" s="3480"/>
      <c r="AS39" s="3432">
        <v>14</v>
      </c>
    </row>
    <row customHeight="1" ht="35.699999999999996">
      <c r="Q40" s="3719"/>
      <c r="R40" s="3719"/>
      <c r="S40" s="3818"/>
      <c r="T40" s="3579"/>
      <c r="U40" s="3798"/>
      <c r="V40" s="3558" t="s">
        <v>448</v>
      </c>
      <c r="W40" s="3850" t="s">
        <v>449</v>
      </c>
      <c r="X40" s="3437" t="s">
        <v>450</v>
      </c>
      <c r="Y40" s="3436"/>
      <c r="Z40" s="3437" t="s">
        <v>464</v>
      </c>
      <c r="AA40" s="3477"/>
      <c r="AB40" s="3436"/>
      <c r="AC40" s="3851"/>
      <c r="AD40" s="3558" t="s">
        <v>448</v>
      </c>
      <c r="AE40" s="3850" t="s">
        <v>449</v>
      </c>
      <c r="AF40" s="3437" t="s">
        <v>450</v>
      </c>
      <c r="AG40" s="3436"/>
      <c r="AH40" s="3437" t="s">
        <v>451</v>
      </c>
      <c r="AI40" s="3477"/>
      <c r="AJ40" s="3436"/>
      <c r="AK40" s="3851"/>
      <c r="AL40" s="871"/>
      <c r="AM40" s="3480"/>
      <c r="AS40" s="3432">
        <v>34</v>
      </c>
    </row>
    <row customHeight="1" ht="35.699999999999996">
      <c r="B41" s="3510" t="s">
        <v>153</v>
      </c>
      <c r="C41" s="3510" t="s">
        <v>154</v>
      </c>
      <c r="D41" s="3510" t="s">
        <v>155</v>
      </c>
      <c r="E41" s="3881" t="s">
        <v>452</v>
      </c>
      <c r="F41" s="3881" t="s">
        <v>453</v>
      </c>
      <c r="G41" s="3881" t="s">
        <v>454</v>
      </c>
      <c r="H41" s="3881" t="s">
        <v>455</v>
      </c>
      <c r="I41" s="3881" t="s">
        <v>456</v>
      </c>
      <c r="J41" s="3881" t="s">
        <v>457</v>
      </c>
      <c r="K41" s="3881" t="s">
        <v>458</v>
      </c>
      <c r="L41" s="3881" t="s">
        <v>433</v>
      </c>
      <c r="Q41" s="3719"/>
      <c r="R41" s="3719"/>
      <c r="S41" s="3818"/>
      <c r="T41" s="3579"/>
      <c r="U41" s="3852"/>
      <c r="V41" s="3483"/>
      <c r="W41" s="3710"/>
      <c r="X41" s="3525" t="s">
        <v>459</v>
      </c>
      <c r="Y41" s="3525" t="s">
        <v>460</v>
      </c>
      <c r="Z41" s="3525" t="s">
        <v>461</v>
      </c>
      <c r="AA41" s="3626" t="s">
        <v>462</v>
      </c>
      <c r="AB41" s="3628"/>
      <c r="AC41" s="3810"/>
      <c r="AD41" s="3483"/>
      <c r="AE41" s="3710"/>
      <c r="AF41" s="3525" t="s">
        <v>459</v>
      </c>
      <c r="AG41" s="3525" t="s">
        <v>460</v>
      </c>
      <c r="AH41" s="3525" t="s">
        <v>461</v>
      </c>
      <c r="AI41" s="3626" t="s">
        <v>462</v>
      </c>
      <c r="AJ41" s="3628"/>
      <c r="AK41" s="3810"/>
      <c r="AL41" s="873"/>
      <c r="AM41" s="3480"/>
      <c r="AS41" s="3432">
        <v>34</v>
      </c>
    </row>
    <row customHeight="1" ht="11.25" hidden="1">
      <c r="Q42" s="3853"/>
      <c r="R42" s="3854">
        <v>1</v>
      </c>
      <c r="S42" s="876" t="s">
        <v>107</v>
      </c>
      <c r="T42" s="877" t="s">
        <v>108</v>
      </c>
      <c r="U42" s="3855" t="str">
        <f>OFFSET(U42,0,-1)</f>
        <v>2</v>
      </c>
      <c r="V42" s="3856">
        <f>OFFSET(V42,0,-1)+1</f>
        <v>3</v>
      </c>
      <c r="W42" s="3856"/>
      <c r="X42" s="3856">
        <f>OFFSET(X42,0,-1)+1</f>
        <v>1</v>
      </c>
      <c r="Y42" s="3856">
        <f>OFFSET(Y42,0,-1)+1</f>
        <v>2</v>
      </c>
      <c r="Z42" s="3856">
        <f>OFFSET(Z42,0,-1)+1</f>
        <v>3</v>
      </c>
      <c r="AA42" s="3856">
        <f>OFFSET(AA42,0,-1)+1</f>
        <v>4</v>
      </c>
      <c r="AB42" s="3856"/>
      <c r="AC42" s="3856">
        <f>OFFSET(AC42,0,-2)+1</f>
        <v>5</v>
      </c>
      <c r="AD42" s="3856">
        <f>OFFSET(AD42,0,-1)+1</f>
        <v>6</v>
      </c>
      <c r="AE42" s="3856"/>
      <c r="AF42" s="3856">
        <f>OFFSET(AF42,0,-1)+1</f>
        <v>1</v>
      </c>
      <c r="AG42" s="3856">
        <f>OFFSET(AG42,0,-1)+1</f>
        <v>2</v>
      </c>
      <c r="AH42" s="3856">
        <f>OFFSET(AH42,0,-1)+1</f>
        <v>3</v>
      </c>
      <c r="AI42" s="3856">
        <f>OFFSET(AI42,0,-1)+1</f>
        <v>4</v>
      </c>
      <c r="AJ42" s="3856"/>
      <c r="AK42" s="3856">
        <f>OFFSET(AK42,0,-2)+1</f>
        <v>5</v>
      </c>
      <c r="AL42" s="3855">
        <f>OFFSET(AL42,0,-1)</f>
        <v>5</v>
      </c>
      <c r="AM42" s="3856">
        <f>OFFSET(AM42,0,-1)+1</f>
        <v>6</v>
      </c>
      <c r="AS42" s="3637">
        <v>0</v>
      </c>
    </row>
    <row customHeight="1" ht="22.049999999999997">
      <c r="A43" s="3534" t="s">
        <v>227</v>
      </c>
      <c r="E43" s="3879">
        <v>1</v>
      </c>
      <c r="R43" s="816"/>
      <c r="S43" s="3818">
        <f>INDEX(PT_DIFFERENTIATION_NUM_NTAR,MATCH(A43,PT_DIFFERENTIATION_NTAR_ID,0))</f>
        <v>0</v>
      </c>
      <c r="T43" s="3764" t="s">
        <v>141</v>
      </c>
      <c r="U43" s="3819"/>
      <c r="V43" s="3820"/>
      <c r="W43" s="3821"/>
      <c r="X43" s="3821"/>
      <c r="Y43" s="3821"/>
      <c r="Z43" s="3821"/>
      <c r="AA43" s="3821"/>
      <c r="AB43" s="3821"/>
      <c r="AC43" s="3822"/>
      <c r="AD43" s="3820" t="str">
        <f>INDEX(PT_DIFFERENTIATION_NTAR,MATCH(A43,PT_DIFFERENTIATION_NTAR_ID,0))</f>
        <v/>
      </c>
      <c r="AE43" s="3821"/>
      <c r="AF43" s="3821"/>
      <c r="AG43" s="3821"/>
      <c r="AH43" s="3821"/>
      <c r="AI43" s="3821"/>
      <c r="AJ43" s="3821"/>
      <c r="AK43" s="3821"/>
      <c r="AL43" s="3822"/>
      <c r="AM43" s="38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3479" t="str">
        <f>IF(T43="","",T43)</f>
        <v>Наименование тарифа</v>
      </c>
      <c r="AS43" s="3432">
        <v>21</v>
      </c>
    </row>
    <row customHeight="1" ht="22.049999999999997">
      <c r="A44" s="3534" t="s">
        <v>227</v>
      </c>
      <c r="B44" s="3534" t="s">
        <v>228</v>
      </c>
      <c r="E44" s="3880"/>
      <c r="F44" s="3879">
        <v>1</v>
      </c>
      <c r="Q44" s="3825"/>
      <c r="R44" s="3826"/>
      <c r="S44" s="3818" t="str">
        <f>INDEX(PT_DIFFERENTIATION_NUM_TER,MATCH(B44,PT_DIFFERENTIATION_TER_ID,0))</f>
        <v>.</v>
      </c>
      <c r="T44" s="3827" t="s">
        <v>412</v>
      </c>
      <c r="U44" s="3819"/>
      <c r="V44" s="3820"/>
      <c r="W44" s="3821"/>
      <c r="X44" s="3821"/>
      <c r="Y44" s="3821"/>
      <c r="Z44" s="3821"/>
      <c r="AA44" s="3821"/>
      <c r="AB44" s="3821"/>
      <c r="AC44" s="3822"/>
      <c r="AD44" s="3820" t="str">
        <f>INDEX(PT_DIFFERENTIATION_TER,MATCH(B44,PT_DIFFERENTIATION_TER_ID,0))</f>
        <v/>
      </c>
      <c r="AE44" s="3821"/>
      <c r="AF44" s="3821"/>
      <c r="AG44" s="3821"/>
      <c r="AH44" s="3821"/>
      <c r="AI44" s="3821"/>
      <c r="AJ44" s="3821"/>
      <c r="AK44" s="3821"/>
      <c r="AL44" s="3822"/>
      <c r="AM44" s="3823" t="s">
        <v>413</v>
      </c>
      <c r="AP44" s="3479" t="str">
        <f>IF(T44="","",T44)</f>
        <v>Территория действия тарифа</v>
      </c>
      <c r="AS44" s="3432">
        <v>21</v>
      </c>
    </row>
    <row customHeight="1" ht="24">
      <c r="A45" s="3534" t="s">
        <v>227</v>
      </c>
      <c r="B45" s="3534" t="s">
        <v>228</v>
      </c>
      <c r="C45" s="3534" t="s">
        <v>229</v>
      </c>
      <c r="E45" s="3880"/>
      <c r="F45" s="3880"/>
      <c r="G45" s="3879">
        <v>1</v>
      </c>
      <c r="Q45" s="3825"/>
      <c r="R45" s="3826"/>
      <c r="S45" s="3818" t="str">
        <f>INDEX(PT_DIFFERENTIATION_NUM_CS,MATCH(C45,PT_DIFFERENTIATION_CS_ID,0))</f>
        <v>..</v>
      </c>
      <c r="T45" s="3828" t="s">
        <v>414</v>
      </c>
      <c r="U45" s="3819"/>
      <c r="V45" s="3820"/>
      <c r="W45" s="3821"/>
      <c r="X45" s="3821"/>
      <c r="Y45" s="3821"/>
      <c r="Z45" s="3821"/>
      <c r="AA45" s="3821"/>
      <c r="AB45" s="3821"/>
      <c r="AC45" s="3822"/>
      <c r="AD45" s="3820" t="str">
        <f>INDEX(PT_DIFFERENTIATION_CS,MATCH(C45,PT_DIFFERENTIATION_CS_ID,0))</f>
        <v/>
      </c>
      <c r="AE45" s="3821"/>
      <c r="AF45" s="3821"/>
      <c r="AG45" s="3821"/>
      <c r="AH45" s="3821"/>
      <c r="AI45" s="3821"/>
      <c r="AJ45" s="3821"/>
      <c r="AK45" s="3821"/>
      <c r="AL45" s="3822"/>
      <c r="AM45" s="3823" t="s">
        <v>415</v>
      </c>
      <c r="AP45" s="3479" t="str">
        <f>IF(T45="","",T45)</f>
        <v>Наименование системы теплоснабжения </v>
      </c>
      <c r="AS45" s="3432">
        <v>23</v>
      </c>
    </row>
    <row customHeight="1" ht="22.049999999999997">
      <c r="A46" s="3534" t="s">
        <v>227</v>
      </c>
      <c r="B46" s="3534" t="s">
        <v>228</v>
      </c>
      <c r="C46" s="3534" t="s">
        <v>229</v>
      </c>
      <c r="D46" s="3534" t="s">
        <v>230</v>
      </c>
      <c r="E46" s="3880"/>
      <c r="F46" s="3880"/>
      <c r="G46" s="3880"/>
      <c r="H46" s="3879">
        <v>1</v>
      </c>
      <c r="Q46" s="3825"/>
      <c r="R46" s="3826"/>
      <c r="S46" s="3818" t="str">
        <f>INDEX(PT_DIFFERENTIATION_NUM_IST_TE,MATCH(D46,PT_DIFFERENTIATION_IST_TE_ID,0))</f>
        <v>...</v>
      </c>
      <c r="T46" s="3829" t="s">
        <v>416</v>
      </c>
      <c r="U46" s="3819"/>
      <c r="V46" s="3820"/>
      <c r="W46" s="3821"/>
      <c r="X46" s="3821"/>
      <c r="Y46" s="3821"/>
      <c r="Z46" s="3821"/>
      <c r="AA46" s="3821"/>
      <c r="AB46" s="3821"/>
      <c r="AC46" s="3822"/>
      <c r="AD46" s="3820" t="str">
        <f>INDEX(PT_DIFFERENTIATION_IST_TE,MATCH(D46,PT_DIFFERENTIATION_IST_TE_ID,0))</f>
        <v/>
      </c>
      <c r="AE46" s="3821"/>
      <c r="AF46" s="3821"/>
      <c r="AG46" s="3821"/>
      <c r="AH46" s="3821"/>
      <c r="AI46" s="3821"/>
      <c r="AJ46" s="3821"/>
      <c r="AK46" s="3821"/>
      <c r="AL46" s="3822"/>
      <c r="AM46" s="3823" t="s">
        <v>417</v>
      </c>
      <c r="AP46" s="3479" t="str">
        <f>IF(T46="","",T46)</f>
        <v>Источник тепловой энергии  </v>
      </c>
      <c r="AS46" s="3432">
        <v>21</v>
      </c>
    </row>
    <row customHeight="1" ht="49.5">
      <c r="A47" s="3534" t="s">
        <v>227</v>
      </c>
      <c r="B47" s="3534" t="s">
        <v>228</v>
      </c>
      <c r="C47" s="3534" t="s">
        <v>229</v>
      </c>
      <c r="D47" s="3534" t="s">
        <v>230</v>
      </c>
      <c r="E47" s="3880"/>
      <c r="F47" s="3880"/>
      <c r="G47" s="3880"/>
      <c r="H47" s="3880"/>
      <c r="I47" s="3480" t="str">
        <f>S46&amp;".1"</f>
        <v>....1</v>
      </c>
      <c r="L47" s="3881" t="s">
        <v>418</v>
      </c>
      <c r="P47" s="3471">
        <v>1</v>
      </c>
      <c r="R47" s="3831"/>
      <c r="S47" s="3818" t="str">
        <f>$I47</f>
        <v>....1</v>
      </c>
      <c r="T47" s="3832" t="s">
        <v>419</v>
      </c>
      <c r="U47" s="3819"/>
      <c r="V47" s="3638"/>
      <c r="W47" s="3833"/>
      <c r="X47" s="3833"/>
      <c r="Y47" s="3833"/>
      <c r="Z47" s="3833"/>
      <c r="AA47" s="3833"/>
      <c r="AB47" s="3833"/>
      <c r="AC47" s="3834"/>
      <c r="AD47" s="3638"/>
      <c r="AE47" s="3833"/>
      <c r="AF47" s="3833"/>
      <c r="AG47" s="3833"/>
      <c r="AH47" s="3833"/>
      <c r="AI47" s="3833"/>
      <c r="AJ47" s="3833"/>
      <c r="AK47" s="3833"/>
      <c r="AL47" s="3834"/>
      <c r="AM47" s="3823" t="s">
        <v>420</v>
      </c>
      <c r="AP47" s="3479" t="str">
        <f>IF(T47="","",T47)</f>
        <v>Схема подключения теплопотребляющей установки к коллектору источника тепловой энергии</v>
      </c>
      <c r="AS47" s="3432">
        <v>47</v>
      </c>
    </row>
    <row customHeight="1" ht="22.049999999999997">
      <c r="A48" s="3534" t="s">
        <v>227</v>
      </c>
      <c r="B48" s="3534" t="s">
        <v>228</v>
      </c>
      <c r="C48" s="3534" t="s">
        <v>229</v>
      </c>
      <c r="D48" s="3534" t="s">
        <v>230</v>
      </c>
      <c r="E48" s="3880"/>
      <c r="F48" s="3880"/>
      <c r="G48" s="3880"/>
      <c r="H48" s="3880"/>
      <c r="I48" s="3437"/>
      <c r="J48" s="3480" t="str">
        <f>I47&amp;".1"</f>
        <v>....1.1</v>
      </c>
      <c r="L48" s="3881" t="s">
        <v>421</v>
      </c>
      <c r="Q48" s="3471">
        <v>1</v>
      </c>
      <c r="R48" s="3836"/>
      <c r="S48" s="3818" t="str">
        <f>$J48</f>
        <v>....1.1</v>
      </c>
      <c r="T48" s="3837" t="s">
        <v>422</v>
      </c>
      <c r="U48" s="3819"/>
      <c r="V48" s="3638"/>
      <c r="W48" s="3833"/>
      <c r="X48" s="3833"/>
      <c r="Y48" s="3833"/>
      <c r="Z48" s="3833"/>
      <c r="AA48" s="3833"/>
      <c r="AB48" s="3833"/>
      <c r="AC48" s="3834"/>
      <c r="AD48" s="3638"/>
      <c r="AE48" s="3833"/>
      <c r="AF48" s="3833"/>
      <c r="AG48" s="3833"/>
      <c r="AH48" s="3833"/>
      <c r="AI48" s="3833"/>
      <c r="AJ48" s="3833"/>
      <c r="AK48" s="3833"/>
      <c r="AL48" s="3834"/>
      <c r="AM48" s="3823" t="s">
        <v>423</v>
      </c>
      <c r="AP48" s="3479" t="str">
        <f>IF(T48="","",T48)</f>
        <v>Группа потребителей</v>
      </c>
      <c r="AS48" s="3432">
        <v>21</v>
      </c>
    </row>
    <row customHeight="1" ht="22.049999999999997">
      <c r="A49" s="3534" t="s">
        <v>227</v>
      </c>
      <c r="B49" s="3534" t="s">
        <v>228</v>
      </c>
      <c r="C49" s="3534" t="s">
        <v>229</v>
      </c>
      <c r="D49" s="3534" t="s">
        <v>230</v>
      </c>
      <c r="E49" s="3880"/>
      <c r="F49" s="3880"/>
      <c r="G49" s="3880"/>
      <c r="H49" s="3880"/>
      <c r="I49" s="3437"/>
      <c r="J49" s="3437"/>
      <c r="K49" s="3480" t="str">
        <f>J48&amp;".1"</f>
        <v>....1.1.1</v>
      </c>
      <c r="L49" s="3881" t="s">
        <v>424</v>
      </c>
      <c r="R49" s="3836">
        <v>1</v>
      </c>
      <c r="S49" s="3818" t="str">
        <f>$K49</f>
        <v>....1.1.1</v>
      </c>
      <c r="T49" s="3838"/>
      <c r="U49" s="3819"/>
      <c r="V49" s="838"/>
      <c r="W49" s="839"/>
      <c r="X49" s="838"/>
      <c r="Y49" s="840"/>
      <c r="Z49" s="572"/>
      <c r="AA49" s="210" t="s">
        <v>61</v>
      </c>
      <c r="AB49" s="572"/>
      <c r="AC49" s="210" t="s">
        <v>61</v>
      </c>
      <c r="AD49" s="838"/>
      <c r="AE49" s="839"/>
      <c r="AF49" s="838"/>
      <c r="AG49" s="840"/>
      <c r="AH49" s="572"/>
      <c r="AI49" s="210" t="s">
        <v>61</v>
      </c>
      <c r="AJ49" s="881"/>
      <c r="AK49" s="210" t="s">
        <v>61</v>
      </c>
      <c r="AL49" s="882"/>
      <c r="AM49" s="3839" t="s">
        <v>425</v>
      </c>
      <c r="AN49" s="3473">
        <f>STRCHECKDATE(V50:AL50)</f>
      </c>
      <c r="AP49" s="3479" t="str">
        <f>IF(T49="","",T49)</f>
        <v/>
      </c>
      <c r="AS49" s="3432">
        <v>21</v>
      </c>
    </row>
    <row customHeight="1" ht="1.05">
      <c r="A50" s="3534" t="s">
        <v>227</v>
      </c>
      <c r="B50" s="3534" t="s">
        <v>228</v>
      </c>
      <c r="C50" s="3534" t="s">
        <v>229</v>
      </c>
      <c r="D50" s="3534" t="s">
        <v>230</v>
      </c>
      <c r="E50" s="3880"/>
      <c r="F50" s="3880"/>
      <c r="G50" s="3880"/>
      <c r="H50" s="3880"/>
      <c r="I50" s="3437"/>
      <c r="J50" s="3437"/>
      <c r="K50" s="3480"/>
      <c r="R50" s="3836"/>
      <c r="S50" s="421"/>
      <c r="T50" s="3819"/>
      <c r="U50" s="3819"/>
      <c r="V50" s="839"/>
      <c r="W50" s="839"/>
      <c r="X50" s="839"/>
      <c r="Y50" s="842" t="str">
        <f>Z49&amp;"-"&amp;AB49</f>
        <v>-</v>
      </c>
      <c r="Z50" s="573"/>
      <c r="AA50" s="210"/>
      <c r="AB50" s="573"/>
      <c r="AC50" s="210"/>
      <c r="AD50" s="839"/>
      <c r="AE50" s="839"/>
      <c r="AF50" s="839"/>
      <c r="AG50" s="842" t="str">
        <f>AH49&amp;"-"&amp;AJ49</f>
        <v>-</v>
      </c>
      <c r="AH50" s="573"/>
      <c r="AI50" s="210"/>
      <c r="AJ50" s="883"/>
      <c r="AK50" s="210"/>
      <c r="AL50" s="884"/>
      <c r="AM50" s="3840"/>
      <c r="AP50" s="3479" t="str">
        <f>IF(T50="","",T50)</f>
        <v/>
      </c>
      <c r="AS50" s="3432">
        <v>1</v>
      </c>
    </row>
    <row customHeight="1" ht="11.549999999999999">
      <c r="A51" s="3534" t="s">
        <v>227</v>
      </c>
      <c r="B51" s="3534" t="s">
        <v>228</v>
      </c>
      <c r="C51" s="3534" t="s">
        <v>229</v>
      </c>
      <c r="D51" s="3534" t="s">
        <v>230</v>
      </c>
      <c r="E51" s="3880"/>
      <c r="F51" s="3880"/>
      <c r="G51" s="3880"/>
      <c r="H51" s="3880"/>
      <c r="I51" s="3437"/>
      <c r="J51" s="3480"/>
      <c r="R51" s="3831"/>
      <c r="S51" s="844"/>
      <c r="T51" s="845" t="s">
        <v>426</v>
      </c>
      <c r="U51" s="200"/>
      <c r="V51" s="200"/>
      <c r="W51" s="200"/>
      <c r="X51" s="200"/>
      <c r="Y51" s="200"/>
      <c r="Z51" s="200"/>
      <c r="AA51" s="200"/>
      <c r="AB51" s="200"/>
      <c r="AC51" s="200"/>
      <c r="AD51" s="200"/>
      <c r="AE51" s="200"/>
      <c r="AF51" s="200"/>
      <c r="AG51" s="200"/>
      <c r="AH51" s="200"/>
      <c r="AI51" s="200"/>
      <c r="AJ51" s="200"/>
      <c r="AK51" s="200"/>
      <c r="AL51" s="846"/>
      <c r="AM51" s="3841"/>
      <c r="AP51" s="3479" t="str">
        <f>IF(T51="","",T51)</f>
        <v>Добавить вид теплоносителя (параметры теплоносителя)</v>
      </c>
      <c r="AS51" s="3432">
        <v>11</v>
      </c>
    </row>
    <row customHeight="1" ht="11.549999999999999">
      <c r="A52" s="3534" t="s">
        <v>227</v>
      </c>
      <c r="B52" s="3534" t="s">
        <v>228</v>
      </c>
      <c r="C52" s="3534" t="s">
        <v>229</v>
      </c>
      <c r="D52" s="3534" t="s">
        <v>230</v>
      </c>
      <c r="E52" s="3880"/>
      <c r="F52" s="3880"/>
      <c r="G52" s="3880"/>
      <c r="H52" s="3880"/>
      <c r="I52" s="3480"/>
      <c r="R52" s="3831"/>
      <c r="S52" s="844"/>
      <c r="T52" s="848" t="s">
        <v>427</v>
      </c>
      <c r="U52" s="200"/>
      <c r="V52" s="200"/>
      <c r="W52" s="200"/>
      <c r="X52" s="200"/>
      <c r="Y52" s="200"/>
      <c r="Z52" s="200"/>
      <c r="AA52" s="200"/>
      <c r="AB52" s="200"/>
      <c r="AC52" s="849"/>
      <c r="AD52" s="200"/>
      <c r="AE52" s="200"/>
      <c r="AF52" s="200"/>
      <c r="AG52" s="200"/>
      <c r="AH52" s="200"/>
      <c r="AI52" s="200"/>
      <c r="AJ52" s="200"/>
      <c r="AK52" s="849"/>
      <c r="AL52" s="200"/>
      <c r="AM52" s="850"/>
      <c r="AP52" s="3479" t="str">
        <f>IF(T52="","",T52)</f>
        <v>Добавить группу потребителей</v>
      </c>
      <c r="AS52" s="3432">
        <v>11</v>
      </c>
    </row>
    <row customHeight="1" ht="14.699999999999998">
      <c r="A53" s="3534" t="s">
        <v>227</v>
      </c>
      <c r="B53" s="3534" t="s">
        <v>228</v>
      </c>
      <c r="C53" s="3534" t="s">
        <v>229</v>
      </c>
      <c r="D53" s="3534" t="s">
        <v>230</v>
      </c>
      <c r="E53" s="3880"/>
      <c r="F53" s="3880"/>
      <c r="G53" s="3880"/>
      <c r="H53" s="3879"/>
      <c r="R53" s="816"/>
      <c r="S53" s="844"/>
      <c r="T53" s="851" t="s">
        <v>428</v>
      </c>
      <c r="U53" s="200"/>
      <c r="V53" s="200"/>
      <c r="W53" s="200"/>
      <c r="X53" s="200"/>
      <c r="Y53" s="200"/>
      <c r="Z53" s="200"/>
      <c r="AA53" s="200"/>
      <c r="AB53" s="200"/>
      <c r="AC53" s="849"/>
      <c r="AD53" s="200"/>
      <c r="AE53" s="200"/>
      <c r="AF53" s="200"/>
      <c r="AG53" s="200"/>
      <c r="AH53" s="200"/>
      <c r="AI53" s="200"/>
      <c r="AJ53" s="200"/>
      <c r="AK53" s="849"/>
      <c r="AL53" s="200"/>
      <c r="AM53" s="850"/>
      <c r="AP53" s="3479" t="str">
        <f>IF(T53="","",T53)</f>
        <v>Добавить схему подключения</v>
      </c>
      <c r="AS53" s="3432">
        <v>14</v>
      </c>
    </row>
    <row customHeight="1" ht="1.05">
      <c r="A54" s="3534" t="s">
        <v>227</v>
      </c>
      <c r="B54" s="3534" t="s">
        <v>228</v>
      </c>
      <c r="C54" s="3534" t="s">
        <v>229</v>
      </c>
      <c r="E54" s="3880"/>
      <c r="F54" s="3880"/>
      <c r="G54" s="3879"/>
      <c r="T54" s="856" t="s">
        <v>429</v>
      </c>
      <c r="AP54" s="3479" t="str">
        <f>IF(T54="","",T54)</f>
        <v>Добавить источник для дифференциации</v>
      </c>
      <c r="AS54" s="3473">
        <v>1</v>
      </c>
    </row>
    <row customHeight="1" ht="1.05">
      <c r="A55" s="3534" t="s">
        <v>227</v>
      </c>
      <c r="B55" s="3534" t="s">
        <v>228</v>
      </c>
      <c r="E55" s="3880"/>
      <c r="F55" s="3879"/>
      <c r="T55" s="856" t="s">
        <v>430</v>
      </c>
      <c r="AP55" s="3479" t="str">
        <f>IF(T55="","",T55)</f>
        <v>Добавить централизованную систему для дифференциации</v>
      </c>
      <c r="AS55" s="3473">
        <v>1</v>
      </c>
    </row>
    <row customHeight="1" ht="1.05">
      <c r="A56" s="3534" t="s">
        <v>227</v>
      </c>
      <c r="E56" s="3879"/>
      <c r="T56" s="856" t="s">
        <v>431</v>
      </c>
      <c r="AP56" s="3479" t="str">
        <f>IF(T56="","",T56)</f>
        <v>Добавить территорию для дифференциации</v>
      </c>
      <c r="AS56" s="3473">
        <v>1</v>
      </c>
    </row>
    <row customHeight="1" ht="1.05">
      <c r="T57" s="856" t="s">
        <v>463</v>
      </c>
      <c r="AP57" s="3479" t="str">
        <f>IF(T57="","",T57)</f>
        <v>Добавить наименование тарифа</v>
      </c>
      <c r="AS57" s="3473">
        <v>1</v>
      </c>
    </row>
    <row customHeight="1" ht="11.549999999999999">
      <c r="AS58" s="3432">
        <v>11</v>
      </c>
    </row>
    <row customHeight="1" ht="28.5">
      <c r="AS59" s="3432">
        <v>27</v>
      </c>
    </row>
    <row customHeight="1" ht="65.25">
      <c r="AS60" s="3432">
        <v>62</v>
      </c>
    </row>
    <row customHeight="1" ht="14.699999999999998">
      <c r="AS61" s="3432">
        <v>14</v>
      </c>
    </row>
    <row customHeight="1" ht="18.75">
      <c r="AS62" s="3432">
        <v>18</v>
      </c>
    </row>
    <row customHeight="1" ht="18.75">
      <c r="AS63" s="3432">
        <v>18</v>
      </c>
    </row>
    <row customHeight="1" ht="29.25">
      <c r="AS64" s="3432">
        <v>28</v>
      </c>
    </row>
    <row customHeight="1" ht="22.5" hidden="1">
      <c r="A65" s="3432" t="s">
        <v>80</v>
      </c>
      <c r="B65" s="3432">
        <v>0</v>
      </c>
      <c r="C65" s="3432">
        <v>0</v>
      </c>
      <c r="D65" s="3432">
        <v>0</v>
      </c>
      <c r="E65" s="3432">
        <v>0</v>
      </c>
      <c r="F65" s="3432">
        <v>0</v>
      </c>
      <c r="G65" s="3432">
        <v>0</v>
      </c>
      <c r="H65" s="3432">
        <v>0</v>
      </c>
      <c r="I65" s="3432">
        <v>0</v>
      </c>
      <c r="J65" s="3432">
        <v>0</v>
      </c>
      <c r="K65" s="3432">
        <v>0</v>
      </c>
      <c r="L65" s="3455">
        <v>0</v>
      </c>
      <c r="M65" s="782">
        <v>0</v>
      </c>
      <c r="N65" s="782">
        <v>0</v>
      </c>
      <c r="O65" s="782">
        <v>0</v>
      </c>
      <c r="P65" s="782">
        <v>3</v>
      </c>
      <c r="Q65" s="3797">
        <v>3</v>
      </c>
      <c r="R65" s="3797">
        <v>3</v>
      </c>
      <c r="S65" s="3447">
        <v>12</v>
      </c>
      <c r="T65" s="3432">
        <v>31</v>
      </c>
      <c r="U65" s="3432">
        <v>0</v>
      </c>
      <c r="V65" s="3432">
        <v>0</v>
      </c>
      <c r="W65" s="3432">
        <v>0</v>
      </c>
      <c r="X65" s="3432">
        <v>0</v>
      </c>
      <c r="Y65" s="3432">
        <v>0</v>
      </c>
      <c r="Z65" s="3432">
        <v>0</v>
      </c>
      <c r="AA65" s="3432">
        <v>0</v>
      </c>
      <c r="AB65" s="3432">
        <v>0</v>
      </c>
      <c r="AC65" s="3432">
        <v>0</v>
      </c>
      <c r="AD65" s="3432">
        <v>24</v>
      </c>
      <c r="AE65" s="3432">
        <v>0</v>
      </c>
      <c r="AF65" s="3432">
        <v>24</v>
      </c>
      <c r="AG65" s="3432">
        <v>24</v>
      </c>
      <c r="AH65" s="3432">
        <v>11</v>
      </c>
      <c r="AI65" s="3432">
        <v>3</v>
      </c>
      <c r="AJ65" s="3432">
        <v>11</v>
      </c>
      <c r="AK65" s="3432">
        <v>0</v>
      </c>
      <c r="AL65" s="3432">
        <v>4</v>
      </c>
      <c r="AM65" s="3432">
        <v>115</v>
      </c>
      <c r="AN65" s="3473">
        <v>10</v>
      </c>
      <c r="AO65" s="3473">
        <v>10</v>
      </c>
      <c r="AP65" s="3473">
        <v>10</v>
      </c>
      <c r="AQ65" s="3473">
        <v>10</v>
      </c>
      <c r="AR65" s="3473">
        <v>10</v>
      </c>
      <c r="AS65" s="34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C6393-C063-7786-BD69-308393CB47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1.00390625" customWidth="1"/>
    <col min="21" max="21" style="7348" width="0.7109375" hidden="1" customWidth="1"/>
    <col min="22" max="22" style="7348" width="1.7109375" hidden="1" customWidth="1"/>
    <col min="23" max="23" style="7348" width="24.7109375" hidden="1" customWidth="1"/>
    <col min="24" max="25" style="7348" width="0.14062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0.140625" customWidth="1"/>
    <col min="31" max="31" style="7348" width="24.00390625" customWidth="1"/>
    <col min="32" max="33" style="7348" width="0.140625" customWidth="1"/>
    <col min="34" max="34" style="7348" width="11.00390625" customWidth="1"/>
    <col min="35" max="35" style="7348" width="3.7109375" customWidth="1"/>
    <col min="36" max="36" style="7348" width="11.00390625" customWidth="1"/>
    <col min="37" max="37" style="7348" width="8.57421875" hidden="1" customWidth="1"/>
    <col min="38" max="38" style="7348" width="4.00390625" customWidth="1"/>
    <col min="39" max="39" style="7348" width="115.00390625" customWidth="1"/>
    <col min="40" max="44" style="7348" width="10.00390625" customWidth="1"/>
    <col min="45" max="45" style="7348" width="10.57421875" hidden="1"/>
  </cols>
  <sheetData>
    <row customHeight="1" ht="22.5" hidden="1">
      <c r="AS1" s="3432" t="s">
        <v>14</v>
      </c>
    </row>
    <row customHeight="1" ht="21" hidden="1">
      <c r="E2" s="3817">
        <v>1</v>
      </c>
      <c r="R2" s="816"/>
      <c r="S2" s="3818">
        <f>INDEX(PT_DIFFERENTIATION_NUM_NTAR,MATCH(A2,PT_DIFFERENTIATION_NTAR_ID,0))</f>
      </c>
      <c r="T2" s="3764" t="s">
        <v>141</v>
      </c>
      <c r="U2" s="3819"/>
      <c r="V2" s="3820"/>
      <c r="W2" s="3821"/>
      <c r="X2" s="3821"/>
      <c r="Y2" s="3821"/>
      <c r="Z2" s="3821"/>
      <c r="AA2" s="3821"/>
      <c r="AB2" s="3821"/>
      <c r="AC2" s="3822"/>
      <c r="AD2" s="3820">
        <f>INDEX(PT_DIFFERENTIATION_NTAR,MATCH(A2,PT_DIFFERENTIATION_NTAR_ID,0))</f>
      </c>
      <c r="AE2" s="3821"/>
      <c r="AF2" s="3821"/>
      <c r="AG2" s="3821"/>
      <c r="AH2" s="3821"/>
      <c r="AI2" s="3821"/>
      <c r="AJ2" s="3821"/>
      <c r="AK2" s="3821"/>
      <c r="AL2" s="3822"/>
      <c r="AM2" s="3823" t="s">
        <v>411</v>
      </c>
      <c r="AP2" s="3479" t="str">
        <f>IF(T2="","",T2)</f>
        <v>Наименование тарифа</v>
      </c>
      <c r="AS2" s="3432">
        <v>0</v>
      </c>
    </row>
    <row customHeight="1" ht="21" hidden="1">
      <c r="E3" s="3824"/>
      <c r="F3" s="3817">
        <v>1</v>
      </c>
      <c r="Q3" s="3825"/>
      <c r="R3" s="3826"/>
      <c r="S3" s="3818">
        <f>INDEX(PT_DIFFERENTIATION_NUM_TER,MATCH(B3,PT_DIFFERENTIATION_TER_ID,0))</f>
      </c>
      <c r="T3" s="3827" t="s">
        <v>412</v>
      </c>
      <c r="U3" s="3819"/>
      <c r="V3" s="3820"/>
      <c r="W3" s="3821"/>
      <c r="X3" s="3821"/>
      <c r="Y3" s="3821"/>
      <c r="Z3" s="3821"/>
      <c r="AA3" s="3821"/>
      <c r="AB3" s="3821"/>
      <c r="AC3" s="3822"/>
      <c r="AD3" s="3820">
        <f>INDEX(PT_DIFFERENTIATION_TER,MATCH(B3,PT_DIFFERENTIATION_TER_ID,0))</f>
      </c>
      <c r="AE3" s="3821"/>
      <c r="AF3" s="3821"/>
      <c r="AG3" s="3821"/>
      <c r="AH3" s="3821"/>
      <c r="AI3" s="3821"/>
      <c r="AJ3" s="3821"/>
      <c r="AK3" s="3821"/>
      <c r="AL3" s="3822"/>
      <c r="AM3" s="3823" t="s">
        <v>413</v>
      </c>
      <c r="AP3" s="3479" t="str">
        <f>IF(T3="","",T3)</f>
        <v>Территория действия тарифа</v>
      </c>
      <c r="AS3" s="3432">
        <v>0</v>
      </c>
    </row>
    <row customHeight="1" ht="23.25" hidden="1">
      <c r="E4" s="3824"/>
      <c r="F4" s="3824"/>
      <c r="G4" s="3817">
        <v>1</v>
      </c>
      <c r="Q4" s="3825"/>
      <c r="R4" s="3826"/>
      <c r="S4" s="3818">
        <f>INDEX(PT_DIFFERENTIATION_NUM_CS,MATCH(C4,PT_DIFFERENTIATION_CS_ID,0))</f>
      </c>
      <c r="T4" s="3828" t="s">
        <v>414</v>
      </c>
      <c r="U4" s="3819"/>
      <c r="V4" s="3820"/>
      <c r="W4" s="3821"/>
      <c r="X4" s="3821"/>
      <c r="Y4" s="3821"/>
      <c r="Z4" s="3821"/>
      <c r="AA4" s="3821"/>
      <c r="AB4" s="3821"/>
      <c r="AC4" s="3822"/>
      <c r="AD4" s="3820">
        <f>INDEX(PT_DIFFERENTIATION_CS,MATCH(C4,PT_DIFFERENTIATION_CS_ID,0))</f>
      </c>
      <c r="AE4" s="3821"/>
      <c r="AF4" s="3821"/>
      <c r="AG4" s="3821"/>
      <c r="AH4" s="3821"/>
      <c r="AI4" s="3821"/>
      <c r="AJ4" s="3821"/>
      <c r="AK4" s="3821"/>
      <c r="AL4" s="3822"/>
      <c r="AM4" s="3823" t="s">
        <v>415</v>
      </c>
      <c r="AP4" s="3479" t="str">
        <f>IF(T4="","",T4)</f>
        <v>Наименование системы теплоснабжения </v>
      </c>
      <c r="AS4" s="3432">
        <v>0</v>
      </c>
    </row>
    <row customHeight="1" ht="21" hidden="1">
      <c r="E5" s="3824"/>
      <c r="F5" s="3824"/>
      <c r="G5" s="3824"/>
      <c r="H5" s="3817">
        <v>1</v>
      </c>
      <c r="Q5" s="3825"/>
      <c r="R5" s="3826"/>
      <c r="S5" s="3818">
        <f>INDEX(PT_DIFFERENTIATION_NUM_IST_TE,MATCH(D5,PT_DIFFERENTIATION_IST_TE_ID,0))</f>
      </c>
      <c r="T5" s="3829" t="s">
        <v>416</v>
      </c>
      <c r="U5" s="3819"/>
      <c r="V5" s="3820"/>
      <c r="W5" s="3821"/>
      <c r="X5" s="3821"/>
      <c r="Y5" s="3821"/>
      <c r="Z5" s="3821"/>
      <c r="AA5" s="3821"/>
      <c r="AB5" s="3821"/>
      <c r="AC5" s="3822"/>
      <c r="AD5" s="3820">
        <f>INDEX(PT_DIFFERENTIATION_IST_TE,MATCH(D5,PT_DIFFERENTIATION_IST_TE_ID,0))</f>
      </c>
      <c r="AE5" s="3821"/>
      <c r="AF5" s="3821"/>
      <c r="AG5" s="3821"/>
      <c r="AH5" s="3821"/>
      <c r="AI5" s="3821"/>
      <c r="AJ5" s="3821"/>
      <c r="AK5" s="3821"/>
      <c r="AL5" s="3822"/>
      <c r="AM5" s="3823" t="s">
        <v>417</v>
      </c>
      <c r="AP5" s="3479" t="str">
        <f>IF(T5="","",T5)</f>
        <v>Источник тепловой энергии  </v>
      </c>
      <c r="AS5" s="3432">
        <v>0</v>
      </c>
    </row>
    <row customHeight="1" ht="47.25" hidden="1">
      <c r="E6" s="3824"/>
      <c r="F6" s="3824"/>
      <c r="G6" s="3824"/>
      <c r="H6" s="3824"/>
      <c r="I6" s="3711">
        <f>S5&amp;".1"</f>
      </c>
      <c r="L6" s="3830" t="s">
        <v>418</v>
      </c>
      <c r="P6" s="3471">
        <v>1</v>
      </c>
      <c r="R6" s="3831"/>
      <c r="S6" s="3818">
        <f>$I6</f>
      </c>
      <c r="T6" s="3832" t="s">
        <v>419</v>
      </c>
      <c r="U6" s="3819"/>
      <c r="V6" s="3638"/>
      <c r="W6" s="3833"/>
      <c r="X6" s="3833"/>
      <c r="Y6" s="3833"/>
      <c r="Z6" s="3833"/>
      <c r="AA6" s="3833"/>
      <c r="AB6" s="3833"/>
      <c r="AC6" s="3834"/>
      <c r="AD6" s="3638"/>
      <c r="AE6" s="3833"/>
      <c r="AF6" s="3833"/>
      <c r="AG6" s="3833"/>
      <c r="AH6" s="3833"/>
      <c r="AI6" s="3833"/>
      <c r="AJ6" s="3833"/>
      <c r="AK6" s="3833"/>
      <c r="AL6" s="3834"/>
      <c r="AM6" s="3823" t="s">
        <v>420</v>
      </c>
      <c r="AP6" s="3479" t="str">
        <f>IF(T6="","",T6)</f>
        <v>Схема подключения теплопотребляющей установки к коллектору источника тепловой энергии</v>
      </c>
      <c r="AS6" s="3432">
        <v>0</v>
      </c>
    </row>
    <row customHeight="1" ht="21" hidden="1">
      <c r="E7" s="3824"/>
      <c r="F7" s="3824"/>
      <c r="G7" s="3824"/>
      <c r="H7" s="3824"/>
      <c r="I7" s="3835"/>
      <c r="J7" s="3711">
        <f>I6&amp;".1"</f>
      </c>
      <c r="L7" s="3830" t="s">
        <v>421</v>
      </c>
      <c r="Q7" s="3471">
        <v>1</v>
      </c>
      <c r="R7" s="3836"/>
      <c r="S7" s="3818">
        <f>$J7</f>
      </c>
      <c r="T7" s="3837" t="s">
        <v>422</v>
      </c>
      <c r="U7" s="3819"/>
      <c r="V7" s="3638"/>
      <c r="W7" s="3833"/>
      <c r="X7" s="3833"/>
      <c r="Y7" s="3833"/>
      <c r="Z7" s="3833"/>
      <c r="AA7" s="3833"/>
      <c r="AB7" s="3833"/>
      <c r="AC7" s="3834"/>
      <c r="AD7" s="3638"/>
      <c r="AE7" s="3833"/>
      <c r="AF7" s="3833"/>
      <c r="AG7" s="3833"/>
      <c r="AH7" s="3833"/>
      <c r="AI7" s="3833"/>
      <c r="AJ7" s="3833"/>
      <c r="AK7" s="3833"/>
      <c r="AL7" s="3834"/>
      <c r="AM7" s="3823" t="s">
        <v>423</v>
      </c>
      <c r="AP7" s="3479" t="str">
        <f>IF(T7="","",T7)</f>
        <v>Группа потребителей</v>
      </c>
      <c r="AS7" s="3432">
        <v>0</v>
      </c>
    </row>
    <row customHeight="1" ht="21" hidden="1">
      <c r="E8" s="3824"/>
      <c r="F8" s="3824"/>
      <c r="G8" s="3824"/>
      <c r="H8" s="3824"/>
      <c r="I8" s="3835"/>
      <c r="J8" s="3835"/>
      <c r="K8" s="3711">
        <f>J7&amp;".1"</f>
      </c>
      <c r="L8" s="3830" t="s">
        <v>424</v>
      </c>
      <c r="R8" s="3836">
        <v>1</v>
      </c>
      <c r="S8" s="3818">
        <f>$K8</f>
      </c>
      <c r="T8" s="3838"/>
      <c r="U8" s="3819"/>
      <c r="V8" s="839"/>
      <c r="W8" s="838"/>
      <c r="X8" s="839"/>
      <c r="Y8" s="885"/>
      <c r="Z8" s="572"/>
      <c r="AA8" s="210" t="s">
        <v>61</v>
      </c>
      <c r="AB8" s="572"/>
      <c r="AC8" s="210" t="s">
        <v>61</v>
      </c>
      <c r="AD8" s="839"/>
      <c r="AE8" s="838"/>
      <c r="AF8" s="839"/>
      <c r="AG8" s="885"/>
      <c r="AH8" s="572"/>
      <c r="AI8" s="210" t="s">
        <v>61</v>
      </c>
      <c r="AJ8" s="572"/>
      <c r="AK8" s="210" t="s">
        <v>61</v>
      </c>
      <c r="AL8" s="839"/>
      <c r="AM8" s="3839" t="s">
        <v>425</v>
      </c>
      <c r="AN8" s="3473">
        <f>STRCHECKDATE(V9:AL9)</f>
      </c>
      <c r="AP8" s="3479" t="str">
        <f>IF(T8="","",T8)</f>
        <v/>
      </c>
      <c r="AS8" s="3432">
        <v>0</v>
      </c>
    </row>
    <row customHeight="1" ht="0.75" hidden="1">
      <c r="E9" s="3824"/>
      <c r="F9" s="3824"/>
      <c r="G9" s="3824"/>
      <c r="H9" s="3824"/>
      <c r="I9" s="3835"/>
      <c r="J9" s="3835"/>
      <c r="K9" s="3711"/>
      <c r="R9" s="3836"/>
      <c r="S9" s="421"/>
      <c r="T9" s="3819"/>
      <c r="U9" s="3819"/>
      <c r="V9" s="839"/>
      <c r="W9" s="839"/>
      <c r="X9" s="839"/>
      <c r="Y9" s="842" t="str">
        <f>Z8&amp;"-"&amp;AB8</f>
        <v>-</v>
      </c>
      <c r="Z9" s="573"/>
      <c r="AA9" s="210"/>
      <c r="AB9" s="573"/>
      <c r="AC9" s="210"/>
      <c r="AD9" s="839"/>
      <c r="AE9" s="839"/>
      <c r="AF9" s="839"/>
      <c r="AG9" s="842" t="str">
        <f>AH8&amp;"-"&amp;AJ8</f>
        <v>-</v>
      </c>
      <c r="AH9" s="573"/>
      <c r="AI9" s="210"/>
      <c r="AJ9" s="573"/>
      <c r="AK9" s="210"/>
      <c r="AL9" s="839"/>
      <c r="AM9" s="3840"/>
      <c r="AP9" s="3479" t="str">
        <f>IF(T9="","",T9)</f>
        <v/>
      </c>
      <c r="AS9" s="3432">
        <v>0</v>
      </c>
    </row>
    <row customHeight="1" ht="15" hidden="1">
      <c r="E10" s="3824"/>
      <c r="F10" s="3824"/>
      <c r="G10" s="3824"/>
      <c r="H10" s="3824"/>
      <c r="I10" s="3835"/>
      <c r="J10" s="3711"/>
      <c r="R10" s="3831"/>
      <c r="S10" s="844"/>
      <c r="T10" s="845" t="s">
        <v>426</v>
      </c>
      <c r="U10" s="200"/>
      <c r="V10" s="200"/>
      <c r="W10" s="200"/>
      <c r="X10" s="200"/>
      <c r="Y10" s="200"/>
      <c r="Z10" s="200"/>
      <c r="AA10" s="200"/>
      <c r="AB10" s="200"/>
      <c r="AC10" s="200"/>
      <c r="AD10" s="200"/>
      <c r="AE10" s="200"/>
      <c r="AF10" s="200"/>
      <c r="AG10" s="200"/>
      <c r="AH10" s="200"/>
      <c r="AI10" s="200"/>
      <c r="AJ10" s="200"/>
      <c r="AK10" s="200"/>
      <c r="AL10" s="846"/>
      <c r="AM10" s="3841"/>
      <c r="AP10" s="3479" t="str">
        <f>IF(T10="","",T10)</f>
        <v>Добавить вид теплоносителя (параметры теплоносителя)</v>
      </c>
      <c r="AS10" s="3432">
        <v>0</v>
      </c>
    </row>
    <row customHeight="1" ht="15" hidden="1">
      <c r="E11" s="3824"/>
      <c r="F11" s="3824"/>
      <c r="G11" s="3824"/>
      <c r="H11" s="3824"/>
      <c r="I11" s="3711"/>
      <c r="R11" s="3831"/>
      <c r="S11" s="844"/>
      <c r="T11" s="848" t="s">
        <v>427</v>
      </c>
      <c r="U11" s="200"/>
      <c r="V11" s="200"/>
      <c r="W11" s="200"/>
      <c r="X11" s="200"/>
      <c r="Y11" s="200"/>
      <c r="Z11" s="200"/>
      <c r="AA11" s="200"/>
      <c r="AB11" s="200"/>
      <c r="AC11" s="849"/>
      <c r="AD11" s="200"/>
      <c r="AE11" s="200"/>
      <c r="AF11" s="200"/>
      <c r="AG11" s="200"/>
      <c r="AH11" s="200"/>
      <c r="AI11" s="200"/>
      <c r="AJ11" s="200"/>
      <c r="AK11" s="849"/>
      <c r="AL11" s="200"/>
      <c r="AM11" s="850"/>
      <c r="AP11" s="3479" t="str">
        <f>IF(T11="","",T11)</f>
        <v>Добавить группу потребителей</v>
      </c>
      <c r="AS11" s="3432">
        <v>0</v>
      </c>
    </row>
    <row customHeight="1" ht="14.25" hidden="1">
      <c r="E12" s="3824"/>
      <c r="F12" s="3824"/>
      <c r="G12" s="3824"/>
      <c r="H12" s="3817"/>
      <c r="R12" s="816"/>
      <c r="S12" s="844"/>
      <c r="T12" s="851" t="s">
        <v>428</v>
      </c>
      <c r="U12" s="200"/>
      <c r="V12" s="200"/>
      <c r="W12" s="200"/>
      <c r="X12" s="200"/>
      <c r="Y12" s="200"/>
      <c r="Z12" s="200"/>
      <c r="AA12" s="200"/>
      <c r="AB12" s="200"/>
      <c r="AC12" s="849"/>
      <c r="AD12" s="200"/>
      <c r="AE12" s="200"/>
      <c r="AF12" s="200"/>
      <c r="AG12" s="200"/>
      <c r="AH12" s="200"/>
      <c r="AI12" s="200"/>
      <c r="AJ12" s="200"/>
      <c r="AK12" s="849"/>
      <c r="AL12" s="200"/>
      <c r="AM12" s="850"/>
      <c r="AP12" s="3479" t="str">
        <f>IF(T12="","",T12)</f>
        <v>Добавить схему подключения</v>
      </c>
      <c r="AS12" s="3432">
        <v>0</v>
      </c>
    </row>
    <row customHeight="1" ht="0.75" hidden="1">
      <c r="E13" s="3824"/>
      <c r="F13" s="3824"/>
      <c r="G13" s="3817"/>
      <c r="S13" s="852"/>
      <c r="T13" s="853" t="s">
        <v>429</v>
      </c>
      <c r="U13" s="854"/>
      <c r="V13" s="854"/>
      <c r="W13" s="854"/>
      <c r="X13" s="854"/>
      <c r="Y13" s="854"/>
      <c r="Z13" s="854"/>
      <c r="AA13" s="854"/>
      <c r="AB13" s="854"/>
      <c r="AC13" s="854"/>
      <c r="AD13" s="854"/>
      <c r="AE13" s="854"/>
      <c r="AF13" s="854"/>
      <c r="AG13" s="854"/>
      <c r="AH13" s="854"/>
      <c r="AI13" s="854"/>
      <c r="AJ13" s="854"/>
      <c r="AK13" s="854"/>
      <c r="AL13" s="854"/>
      <c r="AM13" s="854"/>
      <c r="AP13" s="3479" t="str">
        <f>IF(T13="","",T13)</f>
        <v>Добавить источник для дифференциации</v>
      </c>
      <c r="AS13" s="3473">
        <v>0</v>
      </c>
    </row>
    <row customHeight="1" ht="0.75" hidden="1">
      <c r="E14" s="3824"/>
      <c r="F14" s="3817"/>
      <c r="T14" s="855" t="s">
        <v>430</v>
      </c>
      <c r="AP14" s="3479" t="str">
        <f>IF(T14="","",T14)</f>
        <v>Добавить централизованную систему для дифференциации</v>
      </c>
      <c r="AS14" s="3473">
        <v>0</v>
      </c>
    </row>
    <row customHeight="1" ht="0.75" hidden="1">
      <c r="E15" s="3817"/>
      <c r="T15" s="856" t="s">
        <v>431</v>
      </c>
      <c r="AP15" s="3479" t="str">
        <f>IF(T15="","",T15)</f>
        <v>Добавить территорию для дифференциации</v>
      </c>
      <c r="AS15" s="3473">
        <v>0</v>
      </c>
    </row>
    <row customHeight="1" ht="14.25" hidden="1">
      <c r="AS16" s="3432">
        <v>0</v>
      </c>
    </row>
    <row customHeight="1" ht="14.25" hidden="1">
      <c r="AD17" s="719"/>
      <c r="AE17" s="719"/>
      <c r="AF17" s="719"/>
      <c r="AG17" s="857"/>
      <c r="AH17" s="858"/>
      <c r="AI17" s="616" t="s">
        <v>61</v>
      </c>
      <c r="AJ17" s="858"/>
      <c r="AK17" s="616" t="s">
        <v>61</v>
      </c>
      <c r="AS17" s="3432">
        <v>0</v>
      </c>
    </row>
    <row customHeight="1" ht="14.25" hidden="1">
      <c r="AD18" s="719"/>
      <c r="AE18" s="719"/>
      <c r="AF18" s="719"/>
      <c r="AG18" s="842" t="str">
        <f>AH17&amp;"-"&amp;AJ17</f>
        <v>-</v>
      </c>
      <c r="AH18" s="616"/>
      <c r="AI18" s="616"/>
      <c r="AJ18" s="616"/>
      <c r="AK18" s="616"/>
      <c r="AS18" s="3432">
        <v>0</v>
      </c>
    </row>
    <row customHeight="1" ht="14.25" hidden="1">
      <c r="AS19" s="3432">
        <v>0</v>
      </c>
    </row>
    <row customHeight="1" ht="22.5" hidden="1">
      <c r="O20" s="859" t="s">
        <v>432</v>
      </c>
      <c r="Z20" s="859"/>
      <c r="AB20" s="859"/>
      <c r="AH20" s="859"/>
      <c r="AJ20" s="859"/>
      <c r="AS20" s="3449">
        <v>0</v>
      </c>
    </row>
    <row customHeight="1" ht="14.25" hidden="1">
      <c r="AS21" s="3449">
        <v>0</v>
      </c>
    </row>
    <row customHeight="1" ht="33.75" hidden="1">
      <c r="O22" s="3830" t="s">
        <v>433</v>
      </c>
      <c r="T22" s="3449" t="s">
        <v>434</v>
      </c>
      <c r="AA22" s="3511" t="s">
        <v>435</v>
      </c>
      <c r="AC22" s="3511" t="s">
        <v>436</v>
      </c>
      <c r="AD22" s="3449" t="s">
        <v>434</v>
      </c>
      <c r="AI22" s="3511" t="s">
        <v>437</v>
      </c>
      <c r="AK22" s="3511" t="s">
        <v>436</v>
      </c>
      <c r="AS22" s="3449">
        <v>0</v>
      </c>
    </row>
    <row customHeight="1" ht="14.25" hidden="1">
      <c r="AS23" s="3432">
        <v>0</v>
      </c>
    </row>
    <row customHeight="1" ht="14.25" hidden="1">
      <c r="AS24" s="3432">
        <v>0</v>
      </c>
    </row>
    <row customHeight="1" ht="14.699999999999998">
      <c r="Q25" s="3719"/>
      <c r="R25" s="3719"/>
      <c r="S25" s="3842"/>
      <c r="T25" s="3450"/>
      <c r="U25" s="3450"/>
      <c r="AS25" s="3432">
        <v>14</v>
      </c>
    </row>
    <row customHeight="1" ht="29.25">
      <c r="Q26" s="3719"/>
      <c r="R26" s="3719"/>
      <c r="S26" s="3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646"/>
      <c r="U26" s="3646"/>
      <c r="V26" s="3646"/>
      <c r="W26" s="3646"/>
      <c r="X26" s="3646"/>
      <c r="Y26" s="3646"/>
      <c r="Z26" s="3646"/>
      <c r="AA26" s="3646"/>
      <c r="AB26" s="3646"/>
      <c r="AC26" s="3646"/>
      <c r="AD26" s="3646"/>
      <c r="AE26" s="3646"/>
      <c r="AF26" s="3646"/>
      <c r="AG26" s="3646"/>
      <c r="AH26" s="3646"/>
      <c r="AI26" s="3646"/>
      <c r="AJ26" s="3646"/>
      <c r="AS26" s="3432">
        <v>28</v>
      </c>
    </row>
    <row customHeight="1" ht="14.699999999999998">
      <c r="Q27" s="3719"/>
      <c r="R27" s="3719"/>
      <c r="S27" s="3554" t="str">
        <f>IF(org=0,"Не определено",org)</f>
        <v>ООО "ТеплоЭлектроГенерирующая Компания"</v>
      </c>
      <c r="T27" s="3554"/>
      <c r="U27" s="3554"/>
      <c r="V27" s="3554"/>
      <c r="W27" s="3554"/>
      <c r="X27" s="3554"/>
      <c r="Y27" s="3554"/>
      <c r="Z27" s="3554"/>
      <c r="AA27" s="3554"/>
      <c r="AB27" s="3554"/>
      <c r="AC27" s="3554"/>
      <c r="AD27" s="3554"/>
      <c r="AE27" s="3554"/>
      <c r="AF27" s="3554"/>
      <c r="AG27" s="3554"/>
      <c r="AH27" s="3554"/>
      <c r="AI27" s="3554"/>
      <c r="AJ27" s="3554"/>
      <c r="AS27" s="3432">
        <v>14</v>
      </c>
    </row>
    <row customHeight="1" ht="14.25" hidden="1">
      <c r="Q28" s="3719"/>
      <c r="R28" s="3719"/>
      <c r="S28" s="3842"/>
      <c r="T28" s="3450"/>
      <c r="U28" s="3450"/>
      <c r="V28" s="3804"/>
      <c r="W28" s="3804"/>
      <c r="X28" s="3804"/>
      <c r="Y28" s="3804"/>
      <c r="Z28" s="3804"/>
      <c r="AA28" s="3804"/>
      <c r="AB28" s="3804"/>
      <c r="AC28" s="3804"/>
      <c r="AD28" s="3804"/>
      <c r="AE28" s="3804"/>
      <c r="AF28" s="3804"/>
      <c r="AG28" s="3804"/>
      <c r="AH28" s="3804"/>
      <c r="AI28" s="3804"/>
      <c r="AJ28" s="3804"/>
      <c r="AK28" s="3804"/>
      <c r="AS28" s="3432">
        <v>0</v>
      </c>
    </row>
    <row customHeight="1" ht="25.5" hidden="1">
      <c r="S29" s="3843" t="s">
        <v>41</v>
      </c>
      <c r="T29" s="3843"/>
      <c r="U29" s="3844"/>
      <c r="V29" s="3806" t="str">
        <f>IF(TITLE_NAME_OR_PR_CHANGE="",IF(TITLE_NAME_OR_PR="","",TITLE_NAME_OR_PR),TITLE_NAME_OR_PR_CHANGE)</f>
        <v/>
      </c>
      <c r="W29" s="3806"/>
      <c r="X29" s="3806"/>
      <c r="Y29" s="3806"/>
      <c r="Z29" s="3806"/>
      <c r="AA29" s="3806"/>
      <c r="AB29" s="3806"/>
      <c r="AD29" s="3806" t="str">
        <f>IF(TITLE_NAME_OR_PR_CHANGE="",IF(TITLE_NAME_OR_PR="","",TITLE_NAME_OR_PR),TITLE_NAME_OR_PR_CHANGE)</f>
        <v/>
      </c>
      <c r="AE29" s="3806"/>
      <c r="AF29" s="3806"/>
      <c r="AG29" s="3806"/>
      <c r="AH29" s="3806"/>
      <c r="AI29" s="3806"/>
      <c r="AJ29" s="3806"/>
      <c r="AS29" s="3489">
        <v>0</v>
      </c>
    </row>
    <row customHeight="1" ht="18.75" hidden="1">
      <c r="S30" s="3843" t="s">
        <v>438</v>
      </c>
      <c r="T30" s="3843"/>
      <c r="U30" s="3844"/>
      <c r="V30" s="795" t="str">
        <f>IF(TITLE_DATE_PR_CHANGE="",IF(TITLE_DATE_PR="","",TITLE_DATE_PR),TITLE_DATE_PR_CHANGE)</f>
        <v/>
      </c>
      <c r="W30" s="795"/>
      <c r="X30" s="795"/>
      <c r="Y30" s="795"/>
      <c r="Z30" s="795"/>
      <c r="AA30" s="795"/>
      <c r="AB30" s="795"/>
      <c r="AD30" s="795" t="str">
        <f>IF(TITLE_DATE_PR_CHANGE="",IF(TITLE_DATE_PR="","",TITLE_DATE_PR),TITLE_DATE_PR_CHANGE)</f>
        <v/>
      </c>
      <c r="AE30" s="795"/>
      <c r="AF30" s="795"/>
      <c r="AG30" s="795"/>
      <c r="AH30" s="795"/>
      <c r="AI30" s="795"/>
      <c r="AJ30" s="795"/>
      <c r="AS30" s="3489">
        <v>0</v>
      </c>
    </row>
    <row customHeight="1" ht="18.75" hidden="1">
      <c r="S31" s="3843" t="s">
        <v>439</v>
      </c>
      <c r="T31" s="3843"/>
      <c r="U31" s="3844"/>
      <c r="V31" s="3806" t="str">
        <f>IF(TITLE_NUMBER_PR_CHANGE="",IF(TITLE_NUMBER_PR="","",TITLE_NUMBER_PR),TITLE_NUMBER_PR_CHANGE)</f>
        <v/>
      </c>
      <c r="W31" s="3806"/>
      <c r="X31" s="3806"/>
      <c r="Y31" s="3806"/>
      <c r="Z31" s="3806"/>
      <c r="AA31" s="3806"/>
      <c r="AB31" s="3806"/>
      <c r="AD31" s="3806" t="str">
        <f>IF(TITLE_NUMBER_PR_CHANGE="",IF(TITLE_NUMBER_PR="","",TITLE_NUMBER_PR),TITLE_NUMBER_PR_CHANGE)</f>
        <v/>
      </c>
      <c r="AE31" s="3806"/>
      <c r="AF31" s="3806"/>
      <c r="AG31" s="3806"/>
      <c r="AH31" s="3806"/>
      <c r="AI31" s="3806"/>
      <c r="AJ31" s="3806"/>
      <c r="AS31" s="3489">
        <v>0</v>
      </c>
    </row>
    <row customHeight="1" ht="18.75" hidden="1">
      <c r="S32" s="3843" t="s">
        <v>42</v>
      </c>
      <c r="T32" s="3843"/>
      <c r="U32" s="3844"/>
      <c r="V32" s="3806" t="str">
        <f>IF(TITLE_IST_PUB_CHANGE="",IF(TITLE_IST_PUB="","",TITLE_IST_PUB),TITLE_IST_PUB_CHANGE)</f>
        <v/>
      </c>
      <c r="W32" s="3806"/>
      <c r="X32" s="3806"/>
      <c r="Y32" s="3806"/>
      <c r="Z32" s="3806"/>
      <c r="AA32" s="3806"/>
      <c r="AB32" s="3806"/>
      <c r="AD32" s="3806" t="str">
        <f>IF(TITLE_IST_PUB_CHANGE="",IF(TITLE_IST_PUB="","",TITLE_IST_PUB),TITLE_IST_PUB_CHANGE)</f>
        <v/>
      </c>
      <c r="AE32" s="3806"/>
      <c r="AF32" s="3806"/>
      <c r="AG32" s="3806"/>
      <c r="AH32" s="3806"/>
      <c r="AI32" s="3806"/>
      <c r="AJ32" s="3806"/>
      <c r="AS32" s="3489">
        <v>0</v>
      </c>
    </row>
    <row customHeight="1" ht="14.25" hidden="1">
      <c r="Q33" s="3719"/>
      <c r="R33" s="3719"/>
      <c r="S33" s="3842"/>
      <c r="T33" s="3450"/>
      <c r="U33" s="3450"/>
      <c r="V33" s="3804"/>
      <c r="W33" s="3804"/>
      <c r="X33" s="3804"/>
      <c r="Y33" s="3804"/>
      <c r="Z33" s="3804"/>
      <c r="AA33" s="3804"/>
      <c r="AB33" s="3804"/>
      <c r="AC33" s="3804"/>
      <c r="AD33" s="3804"/>
      <c r="AE33" s="3804"/>
      <c r="AF33" s="3804"/>
      <c r="AG33" s="3804"/>
      <c r="AH33" s="3804"/>
      <c r="AI33" s="3804"/>
      <c r="AJ33" s="3804"/>
      <c r="AK33" s="3804"/>
      <c r="AS33" s="3432">
        <v>0</v>
      </c>
    </row>
    <row customHeight="1" ht="18.75" hidden="1">
      <c r="S34" s="3843" t="s">
        <v>440</v>
      </c>
      <c r="T34" s="3843"/>
      <c r="U34" s="3844"/>
      <c r="V34" s="795" t="str">
        <f>IF(TITLE_DATE_PR_CHANGE="",IF(TITLE_DATE_PR="","",TITLE_DATE_PR),TITLE_DATE_PR_CHANGE)</f>
        <v/>
      </c>
      <c r="W34" s="795"/>
      <c r="X34" s="795"/>
      <c r="Y34" s="795"/>
      <c r="Z34" s="795"/>
      <c r="AA34" s="795"/>
      <c r="AB34" s="795"/>
      <c r="AD34" s="795" t="str">
        <f>IF(TITLE_DATE_PR_CHANGE="",IF(TITLE_DATE_PR="","",TITLE_DATE_PR),TITLE_DATE_PR_CHANGE)</f>
        <v/>
      </c>
      <c r="AE34" s="795"/>
      <c r="AF34" s="795"/>
      <c r="AG34" s="795"/>
      <c r="AH34" s="795"/>
      <c r="AI34" s="795"/>
      <c r="AJ34" s="795"/>
      <c r="AS34" s="3489">
        <v>0</v>
      </c>
    </row>
    <row customHeight="1" ht="18.75" hidden="1">
      <c r="S35" s="3843" t="s">
        <v>441</v>
      </c>
      <c r="T35" s="3843"/>
      <c r="U35" s="3844"/>
      <c r="V35" s="3806" t="str">
        <f>IF(TITLE_NUMBER_PR_CHANGE="",IF(TITLE_NUMBER_PR="","",TITLE_NUMBER_PR),TITLE_NUMBER_PR_CHANGE)</f>
        <v/>
      </c>
      <c r="W35" s="3806"/>
      <c r="X35" s="3806"/>
      <c r="Y35" s="3806"/>
      <c r="Z35" s="3806"/>
      <c r="AA35" s="3806"/>
      <c r="AB35" s="3806"/>
      <c r="AD35" s="3806" t="str">
        <f>IF(TITLE_NUMBER_PR_CHANGE="",IF(TITLE_NUMBER_PR="","",TITLE_NUMBER_PR),TITLE_NUMBER_PR_CHANGE)</f>
        <v/>
      </c>
      <c r="AE35" s="3806"/>
      <c r="AF35" s="3806"/>
      <c r="AG35" s="3806"/>
      <c r="AH35" s="3806"/>
      <c r="AI35" s="3806"/>
      <c r="AJ35" s="3806"/>
      <c r="AS35" s="3489">
        <v>0</v>
      </c>
    </row>
    <row customHeight="1" ht="0">
      <c r="AC36" s="3473" t="s">
        <v>442</v>
      </c>
      <c r="AK36" s="3473" t="s">
        <v>442</v>
      </c>
      <c r="AS36" s="3489">
        <v>0</v>
      </c>
    </row>
    <row customHeight="1" ht="14.699999999999998">
      <c r="Q37" s="3719"/>
      <c r="R37" s="3719"/>
      <c r="S37" s="3842"/>
      <c r="T37" s="3450"/>
      <c r="U37" s="3845"/>
      <c r="V37" s="3846"/>
      <c r="W37" s="3846"/>
      <c r="X37" s="3846"/>
      <c r="Y37" s="3846"/>
      <c r="Z37" s="3846"/>
      <c r="AA37" s="3846"/>
      <c r="AB37" s="3846"/>
      <c r="AC37" s="3846"/>
      <c r="AD37" s="3846"/>
      <c r="AE37" s="3846"/>
      <c r="AF37" s="3846"/>
      <c r="AG37" s="3846"/>
      <c r="AH37" s="3846"/>
      <c r="AI37" s="3846"/>
      <c r="AJ37" s="3846"/>
      <c r="AK37" s="3846"/>
      <c r="AS37" s="3432">
        <v>14</v>
      </c>
    </row>
    <row customHeight="1" ht="14.699999999999998">
      <c r="Q38" s="3719"/>
      <c r="R38" s="3719"/>
      <c r="S38" s="3480" t="s">
        <v>315</v>
      </c>
      <c r="T38" s="3480"/>
      <c r="U38" s="3480"/>
      <c r="V38" s="3480"/>
      <c r="W38" s="3480"/>
      <c r="X38" s="3480"/>
      <c r="Y38" s="3480"/>
      <c r="Z38" s="3480"/>
      <c r="AA38" s="3480"/>
      <c r="AB38" s="3480"/>
      <c r="AC38" s="3480"/>
      <c r="AD38" s="3480"/>
      <c r="AE38" s="3480"/>
      <c r="AF38" s="3480"/>
      <c r="AG38" s="3480"/>
      <c r="AH38" s="3480"/>
      <c r="AI38" s="3480"/>
      <c r="AJ38" s="3480"/>
      <c r="AK38" s="3480"/>
      <c r="AL38" s="3480"/>
      <c r="AM38" s="3480" t="s">
        <v>316</v>
      </c>
      <c r="AS38" s="3432">
        <v>14</v>
      </c>
    </row>
    <row customHeight="1" ht="14.699999999999998">
      <c r="Q39" s="3719"/>
      <c r="R39" s="3719"/>
      <c r="S39" s="3818" t="s">
        <v>86</v>
      </c>
      <c r="T39" s="3579" t="s">
        <v>443</v>
      </c>
      <c r="U39" s="3793"/>
      <c r="V39" s="3847" t="s">
        <v>444</v>
      </c>
      <c r="W39" s="3848"/>
      <c r="X39" s="3858"/>
      <c r="Y39" s="3858"/>
      <c r="Z39" s="3848"/>
      <c r="AA39" s="3848"/>
      <c r="AB39" s="3849"/>
      <c r="AC39" s="3807" t="s">
        <v>445</v>
      </c>
      <c r="AD39" s="3847" t="s">
        <v>444</v>
      </c>
      <c r="AE39" s="3848"/>
      <c r="AF39" s="3858"/>
      <c r="AG39" s="3858"/>
      <c r="AH39" s="3848"/>
      <c r="AI39" s="3848"/>
      <c r="AJ39" s="3849"/>
      <c r="AK39" s="3807" t="s">
        <v>446</v>
      </c>
      <c r="AL39" s="868" t="s">
        <v>447</v>
      </c>
      <c r="AM39" s="3480"/>
      <c r="AS39" s="3432">
        <v>14</v>
      </c>
    </row>
    <row customHeight="1" ht="24">
      <c r="Q40" s="3719"/>
      <c r="R40" s="3719"/>
      <c r="S40" s="3818"/>
      <c r="T40" s="3579"/>
      <c r="U40" s="3798"/>
      <c r="V40" s="3859" t="s">
        <v>448</v>
      </c>
      <c r="W40" s="3555" t="s">
        <v>449</v>
      </c>
      <c r="X40" s="3581" t="s">
        <v>450</v>
      </c>
      <c r="Y40" s="3581"/>
      <c r="Z40" s="3477" t="s">
        <v>451</v>
      </c>
      <c r="AA40" s="3477"/>
      <c r="AB40" s="3436"/>
      <c r="AC40" s="3851"/>
      <c r="AD40" s="3859" t="s">
        <v>448</v>
      </c>
      <c r="AE40" s="3555" t="s">
        <v>449</v>
      </c>
      <c r="AF40" s="3581" t="s">
        <v>450</v>
      </c>
      <c r="AG40" s="3581"/>
      <c r="AH40" s="3477" t="s">
        <v>451</v>
      </c>
      <c r="AI40" s="3477"/>
      <c r="AJ40" s="3436"/>
      <c r="AK40" s="3851"/>
      <c r="AL40" s="871"/>
      <c r="AM40" s="3480"/>
      <c r="AS40" s="3432">
        <v>23</v>
      </c>
    </row>
    <row customHeight="1" ht="24">
      <c r="B41" s="3511" t="s">
        <v>153</v>
      </c>
      <c r="C41" s="3511" t="s">
        <v>154</v>
      </c>
      <c r="D41" s="3511" t="s">
        <v>155</v>
      </c>
      <c r="E41" s="3830" t="s">
        <v>452</v>
      </c>
      <c r="F41" s="3830" t="s">
        <v>453</v>
      </c>
      <c r="G41" s="3830" t="s">
        <v>454</v>
      </c>
      <c r="H41" s="3830" t="s">
        <v>455</v>
      </c>
      <c r="I41" s="3830" t="s">
        <v>456</v>
      </c>
      <c r="J41" s="3830" t="s">
        <v>457</v>
      </c>
      <c r="K41" s="3830" t="s">
        <v>458</v>
      </c>
      <c r="L41" s="3830" t="s">
        <v>433</v>
      </c>
      <c r="Q41" s="3719"/>
      <c r="R41" s="3719"/>
      <c r="S41" s="3818"/>
      <c r="T41" s="3579"/>
      <c r="U41" s="3852"/>
      <c r="V41" s="3484"/>
      <c r="W41" s="3561"/>
      <c r="X41" s="3481" t="s">
        <v>459</v>
      </c>
      <c r="Y41" s="3481" t="s">
        <v>460</v>
      </c>
      <c r="Z41" s="3628" t="s">
        <v>461</v>
      </c>
      <c r="AA41" s="3626" t="s">
        <v>462</v>
      </c>
      <c r="AB41" s="3628"/>
      <c r="AC41" s="3810"/>
      <c r="AD41" s="3484"/>
      <c r="AE41" s="3561"/>
      <c r="AF41" s="3481" t="s">
        <v>459</v>
      </c>
      <c r="AG41" s="3481" t="s">
        <v>460</v>
      </c>
      <c r="AH41" s="3628" t="s">
        <v>461</v>
      </c>
      <c r="AI41" s="3626" t="s">
        <v>462</v>
      </c>
      <c r="AJ41" s="3628"/>
      <c r="AK41" s="3810"/>
      <c r="AL41" s="873"/>
      <c r="AM41" s="3480"/>
      <c r="AS41" s="3510">
        <v>23</v>
      </c>
    </row>
    <row customHeight="1" ht="11.25" hidden="1">
      <c r="Q42" s="3853"/>
      <c r="R42" s="3854">
        <v>1</v>
      </c>
      <c r="S42" s="876" t="s">
        <v>107</v>
      </c>
      <c r="T42" s="877" t="s">
        <v>108</v>
      </c>
      <c r="U42" s="3855" t="str">
        <f>OFFSET(U42,0,-1)</f>
        <v>2</v>
      </c>
      <c r="V42" s="3856">
        <f>OFFSET(V42,0,-1)+1</f>
        <v>3</v>
      </c>
      <c r="W42" s="3856"/>
      <c r="X42" s="3636">
        <f>OFFSET(X42,0,-1)+1</f>
        <v>1</v>
      </c>
      <c r="Y42" s="3636">
        <f>OFFSET(Y42,0,-1)+1</f>
        <v>2</v>
      </c>
      <c r="Z42" s="3856">
        <f>OFFSET(Z42,0,-1)+1</f>
        <v>3</v>
      </c>
      <c r="AA42" s="3856">
        <f>OFFSET(AA42,0,-1)+1</f>
        <v>4</v>
      </c>
      <c r="AB42" s="3856"/>
      <c r="AC42" s="3856">
        <f>OFFSET(AC42,0,-2)+1</f>
        <v>5</v>
      </c>
      <c r="AD42" s="3856">
        <f>OFFSET(AD42,0,-1)+1</f>
        <v>6</v>
      </c>
      <c r="AE42" s="3856"/>
      <c r="AF42" s="3636">
        <f>OFFSET(AF42,0,-1)+1</f>
        <v>1</v>
      </c>
      <c r="AG42" s="3636">
        <f>OFFSET(AG42,0,-1)+1</f>
        <v>2</v>
      </c>
      <c r="AH42" s="3856">
        <f>OFFSET(AH42,0,-1)+1</f>
        <v>3</v>
      </c>
      <c r="AI42" s="3856">
        <f>OFFSET(AI42,0,-1)+1</f>
        <v>4</v>
      </c>
      <c r="AJ42" s="3856"/>
      <c r="AK42" s="3856">
        <f>OFFSET(AK42,0,-2)+1</f>
        <v>5</v>
      </c>
      <c r="AL42" s="3855">
        <f>OFFSET(AL42,0,-1)</f>
        <v>5</v>
      </c>
      <c r="AM42" s="3856">
        <f>OFFSET(AM42,0,-1)+1</f>
        <v>6</v>
      </c>
      <c r="AS42" s="3637">
        <v>0</v>
      </c>
    </row>
    <row customHeight="1" ht="22.049999999999997">
      <c r="A43" s="3857" t="s">
        <v>209</v>
      </c>
      <c r="E43" s="3817">
        <v>1</v>
      </c>
      <c r="R43" s="816"/>
      <c r="S43" s="3818">
        <f>INDEX(PT_DIFFERENTIATION_NUM_NTAR,MATCH(A43,PT_DIFFERENTIATION_NTAR_ID,0))</f>
        <v>0</v>
      </c>
      <c r="T43" s="3764" t="s">
        <v>141</v>
      </c>
      <c r="U43" s="3819"/>
      <c r="V43" s="3820"/>
      <c r="W43" s="3821"/>
      <c r="X43" s="3821"/>
      <c r="Y43" s="3821"/>
      <c r="Z43" s="3821"/>
      <c r="AA43" s="3821"/>
      <c r="AB43" s="3821"/>
      <c r="AC43" s="3822"/>
      <c r="AD43" s="3820" t="str">
        <f>INDEX(PT_DIFFERENTIATION_NTAR,MATCH(A43,PT_DIFFERENTIATION_NTAR_ID,0))</f>
        <v/>
      </c>
      <c r="AE43" s="3821"/>
      <c r="AF43" s="3821"/>
      <c r="AG43" s="3821"/>
      <c r="AH43" s="3821"/>
      <c r="AI43" s="3821"/>
      <c r="AJ43" s="3821"/>
      <c r="AK43" s="3821"/>
      <c r="AL43" s="3822"/>
      <c r="AM43" s="38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3479" t="str">
        <f>IF(T43="","",T43)</f>
        <v>Наименование тарифа</v>
      </c>
      <c r="AS43" s="3432">
        <v>21</v>
      </c>
    </row>
    <row customHeight="1" ht="22.049999999999997">
      <c r="A44" s="3857" t="s">
        <v>209</v>
      </c>
      <c r="B44" s="3857" t="s">
        <v>210</v>
      </c>
      <c r="E44" s="3824"/>
      <c r="F44" s="3817">
        <v>1</v>
      </c>
      <c r="Q44" s="3825"/>
      <c r="R44" s="3826"/>
      <c r="S44" s="3818" t="str">
        <f>INDEX(PT_DIFFERENTIATION_NUM_TER,MATCH(B44,PT_DIFFERENTIATION_TER_ID,0))</f>
        <v>.</v>
      </c>
      <c r="T44" s="3827" t="s">
        <v>412</v>
      </c>
      <c r="U44" s="3819"/>
      <c r="V44" s="3820"/>
      <c r="W44" s="3821"/>
      <c r="X44" s="3821"/>
      <c r="Y44" s="3821"/>
      <c r="Z44" s="3821"/>
      <c r="AA44" s="3821"/>
      <c r="AB44" s="3821"/>
      <c r="AC44" s="3822"/>
      <c r="AD44" s="3820" t="str">
        <f>INDEX(PT_DIFFERENTIATION_TER,MATCH(B44,PT_DIFFERENTIATION_TER_ID,0))</f>
        <v/>
      </c>
      <c r="AE44" s="3821"/>
      <c r="AF44" s="3821"/>
      <c r="AG44" s="3821"/>
      <c r="AH44" s="3821"/>
      <c r="AI44" s="3821"/>
      <c r="AJ44" s="3821"/>
      <c r="AK44" s="3821"/>
      <c r="AL44" s="3822"/>
      <c r="AM44" s="3823" t="s">
        <v>413</v>
      </c>
      <c r="AP44" s="3479" t="str">
        <f>IF(T44="","",T44)</f>
        <v>Территория действия тарифа</v>
      </c>
      <c r="AS44" s="3432">
        <v>21</v>
      </c>
    </row>
    <row customHeight="1" ht="24">
      <c r="A45" s="3857" t="s">
        <v>209</v>
      </c>
      <c r="B45" s="3857" t="s">
        <v>210</v>
      </c>
      <c r="C45" s="3857" t="s">
        <v>211</v>
      </c>
      <c r="E45" s="3824"/>
      <c r="F45" s="3824"/>
      <c r="G45" s="3817">
        <v>1</v>
      </c>
      <c r="Q45" s="3825"/>
      <c r="R45" s="3826"/>
      <c r="S45" s="3818" t="str">
        <f>INDEX(PT_DIFFERENTIATION_NUM_CS,MATCH(C45,PT_DIFFERENTIATION_CS_ID,0))</f>
        <v>..</v>
      </c>
      <c r="T45" s="3828" t="s">
        <v>414</v>
      </c>
      <c r="U45" s="3819"/>
      <c r="V45" s="3820"/>
      <c r="W45" s="3821"/>
      <c r="X45" s="3821"/>
      <c r="Y45" s="3821"/>
      <c r="Z45" s="3821"/>
      <c r="AA45" s="3821"/>
      <c r="AB45" s="3821"/>
      <c r="AC45" s="3822"/>
      <c r="AD45" s="3820" t="str">
        <f>INDEX(PT_DIFFERENTIATION_CS,MATCH(C45,PT_DIFFERENTIATION_CS_ID,0))</f>
        <v/>
      </c>
      <c r="AE45" s="3821"/>
      <c r="AF45" s="3821"/>
      <c r="AG45" s="3821"/>
      <c r="AH45" s="3821"/>
      <c r="AI45" s="3821"/>
      <c r="AJ45" s="3821"/>
      <c r="AK45" s="3821"/>
      <c r="AL45" s="3822"/>
      <c r="AM45" s="3823" t="s">
        <v>415</v>
      </c>
      <c r="AP45" s="3479" t="str">
        <f>IF(T45="","",T45)</f>
        <v>Наименование системы теплоснабжения </v>
      </c>
      <c r="AS45" s="3432">
        <v>23</v>
      </c>
    </row>
    <row customHeight="1" ht="22.049999999999997">
      <c r="A46" s="3857" t="s">
        <v>209</v>
      </c>
      <c r="B46" s="3857" t="s">
        <v>210</v>
      </c>
      <c r="C46" s="3857" t="s">
        <v>211</v>
      </c>
      <c r="D46" s="3857" t="s">
        <v>212</v>
      </c>
      <c r="E46" s="3824"/>
      <c r="F46" s="3824"/>
      <c r="G46" s="3824"/>
      <c r="H46" s="3817">
        <v>1</v>
      </c>
      <c r="Q46" s="3825"/>
      <c r="R46" s="3826"/>
      <c r="S46" s="3818" t="str">
        <f>INDEX(PT_DIFFERENTIATION_NUM_IST_TE,MATCH(D46,PT_DIFFERENTIATION_IST_TE_ID,0))</f>
        <v>...</v>
      </c>
      <c r="T46" s="3829" t="s">
        <v>416</v>
      </c>
      <c r="U46" s="3819"/>
      <c r="V46" s="3820"/>
      <c r="W46" s="3821"/>
      <c r="X46" s="3821"/>
      <c r="Y46" s="3821"/>
      <c r="Z46" s="3821"/>
      <c r="AA46" s="3821"/>
      <c r="AB46" s="3821"/>
      <c r="AC46" s="3822"/>
      <c r="AD46" s="3820" t="str">
        <f>INDEX(PT_DIFFERENTIATION_IST_TE,MATCH(D46,PT_DIFFERENTIATION_IST_TE_ID,0))</f>
        <v/>
      </c>
      <c r="AE46" s="3821"/>
      <c r="AF46" s="3821"/>
      <c r="AG46" s="3821"/>
      <c r="AH46" s="3821"/>
      <c r="AI46" s="3821"/>
      <c r="AJ46" s="3821"/>
      <c r="AK46" s="3821"/>
      <c r="AL46" s="3822"/>
      <c r="AM46" s="3823" t="s">
        <v>417</v>
      </c>
      <c r="AP46" s="3479" t="str">
        <f>IF(T46="","",T46)</f>
        <v>Источник тепловой энергии  </v>
      </c>
      <c r="AS46" s="3432">
        <v>21</v>
      </c>
    </row>
    <row customHeight="1" ht="49.5">
      <c r="A47" s="3857" t="s">
        <v>209</v>
      </c>
      <c r="B47" s="3857" t="s">
        <v>210</v>
      </c>
      <c r="C47" s="3857" t="s">
        <v>211</v>
      </c>
      <c r="D47" s="3857" t="s">
        <v>212</v>
      </c>
      <c r="E47" s="3824"/>
      <c r="F47" s="3824"/>
      <c r="G47" s="3824"/>
      <c r="H47" s="3824"/>
      <c r="I47" s="3711" t="str">
        <f>S46&amp;".1"</f>
        <v>....1</v>
      </c>
      <c r="L47" s="3830" t="s">
        <v>418</v>
      </c>
      <c r="P47" s="3471">
        <v>1</v>
      </c>
      <c r="R47" s="3831"/>
      <c r="S47" s="3818" t="str">
        <f>$I47</f>
        <v>....1</v>
      </c>
      <c r="T47" s="3832" t="s">
        <v>419</v>
      </c>
      <c r="U47" s="3819"/>
      <c r="V47" s="3638"/>
      <c r="W47" s="3833"/>
      <c r="X47" s="3833"/>
      <c r="Y47" s="3833"/>
      <c r="Z47" s="3833"/>
      <c r="AA47" s="3833"/>
      <c r="AB47" s="3833"/>
      <c r="AC47" s="3834"/>
      <c r="AD47" s="3638"/>
      <c r="AE47" s="3833"/>
      <c r="AF47" s="3833"/>
      <c r="AG47" s="3833"/>
      <c r="AH47" s="3833"/>
      <c r="AI47" s="3833"/>
      <c r="AJ47" s="3833"/>
      <c r="AK47" s="3833"/>
      <c r="AL47" s="3834"/>
      <c r="AM47" s="3823" t="s">
        <v>420</v>
      </c>
      <c r="AP47" s="3479" t="str">
        <f>IF(T47="","",T47)</f>
        <v>Схема подключения теплопотребляющей установки к коллектору источника тепловой энергии</v>
      </c>
      <c r="AS47" s="3432">
        <v>47</v>
      </c>
    </row>
    <row customHeight="1" ht="22.049999999999997">
      <c r="A48" s="3857" t="s">
        <v>209</v>
      </c>
      <c r="B48" s="3857" t="s">
        <v>210</v>
      </c>
      <c r="C48" s="3857" t="s">
        <v>211</v>
      </c>
      <c r="D48" s="3857" t="s">
        <v>212</v>
      </c>
      <c r="E48" s="3824"/>
      <c r="F48" s="3824"/>
      <c r="G48" s="3824"/>
      <c r="H48" s="3824"/>
      <c r="I48" s="3835"/>
      <c r="J48" s="3711" t="str">
        <f>I47&amp;".1"</f>
        <v>....1.1</v>
      </c>
      <c r="L48" s="3830" t="s">
        <v>421</v>
      </c>
      <c r="Q48" s="3471">
        <v>1</v>
      </c>
      <c r="R48" s="3836"/>
      <c r="S48" s="3818" t="str">
        <f>$J48</f>
        <v>....1.1</v>
      </c>
      <c r="T48" s="3837" t="s">
        <v>422</v>
      </c>
      <c r="U48" s="3819"/>
      <c r="V48" s="3638"/>
      <c r="W48" s="3833"/>
      <c r="X48" s="3833"/>
      <c r="Y48" s="3833"/>
      <c r="Z48" s="3833"/>
      <c r="AA48" s="3833"/>
      <c r="AB48" s="3833"/>
      <c r="AC48" s="3834"/>
      <c r="AD48" s="3638"/>
      <c r="AE48" s="3833"/>
      <c r="AF48" s="3833"/>
      <c r="AG48" s="3833"/>
      <c r="AH48" s="3833"/>
      <c r="AI48" s="3833"/>
      <c r="AJ48" s="3833"/>
      <c r="AK48" s="3833"/>
      <c r="AL48" s="3834"/>
      <c r="AM48" s="3823" t="s">
        <v>423</v>
      </c>
      <c r="AP48" s="3479" t="str">
        <f>IF(T48="","",T48)</f>
        <v>Группа потребителей</v>
      </c>
      <c r="AS48" s="3432">
        <v>21</v>
      </c>
    </row>
    <row customHeight="1" ht="22.049999999999997">
      <c r="A49" s="3857" t="s">
        <v>209</v>
      </c>
      <c r="B49" s="3857" t="s">
        <v>210</v>
      </c>
      <c r="C49" s="3857" t="s">
        <v>211</v>
      </c>
      <c r="D49" s="3857" t="s">
        <v>212</v>
      </c>
      <c r="E49" s="3824"/>
      <c r="F49" s="3824"/>
      <c r="G49" s="3824"/>
      <c r="H49" s="3824"/>
      <c r="I49" s="3835"/>
      <c r="J49" s="3835"/>
      <c r="K49" s="3711" t="str">
        <f>J48&amp;".1"</f>
        <v>....1.1.1</v>
      </c>
      <c r="L49" s="3830" t="s">
        <v>424</v>
      </c>
      <c r="R49" s="3836">
        <v>1</v>
      </c>
      <c r="S49" s="3818" t="str">
        <f>$K49</f>
        <v>....1.1.1</v>
      </c>
      <c r="T49" s="3838"/>
      <c r="U49" s="3819"/>
      <c r="V49" s="839"/>
      <c r="W49" s="838"/>
      <c r="X49" s="839"/>
      <c r="Y49" s="885"/>
      <c r="Z49" s="572"/>
      <c r="AA49" s="210" t="s">
        <v>61</v>
      </c>
      <c r="AB49" s="572"/>
      <c r="AC49" s="210" t="s">
        <v>61</v>
      </c>
      <c r="AD49" s="839"/>
      <c r="AE49" s="838"/>
      <c r="AF49" s="839"/>
      <c r="AG49" s="885"/>
      <c r="AH49" s="572"/>
      <c r="AI49" s="210" t="s">
        <v>61</v>
      </c>
      <c r="AJ49" s="881"/>
      <c r="AK49" s="210" t="s">
        <v>61</v>
      </c>
      <c r="AL49" s="882"/>
      <c r="AM49" s="3839" t="s">
        <v>425</v>
      </c>
      <c r="AN49" s="3473">
        <f>STRCHECKDATE(V50:AL50)</f>
      </c>
      <c r="AP49" s="3479" t="str">
        <f>IF(T49="","",T49)</f>
        <v/>
      </c>
      <c r="AS49" s="3432">
        <v>21</v>
      </c>
    </row>
    <row customHeight="1" ht="1.05">
      <c r="A50" s="3857" t="s">
        <v>209</v>
      </c>
      <c r="B50" s="3857" t="s">
        <v>210</v>
      </c>
      <c r="C50" s="3857" t="s">
        <v>211</v>
      </c>
      <c r="D50" s="3857" t="s">
        <v>212</v>
      </c>
      <c r="E50" s="3824"/>
      <c r="F50" s="3824"/>
      <c r="G50" s="3824"/>
      <c r="H50" s="3824"/>
      <c r="I50" s="3835"/>
      <c r="J50" s="3835"/>
      <c r="K50" s="3711"/>
      <c r="R50" s="3836"/>
      <c r="S50" s="421"/>
      <c r="T50" s="3819"/>
      <c r="U50" s="3819"/>
      <c r="V50" s="839"/>
      <c r="W50" s="839"/>
      <c r="X50" s="839"/>
      <c r="Y50" s="842" t="str">
        <f>Z49&amp;"-"&amp;AB49</f>
        <v>-</v>
      </c>
      <c r="Z50" s="573"/>
      <c r="AA50" s="210"/>
      <c r="AB50" s="573"/>
      <c r="AC50" s="210"/>
      <c r="AD50" s="839"/>
      <c r="AE50" s="839"/>
      <c r="AF50" s="839"/>
      <c r="AG50" s="842" t="str">
        <f>AH49&amp;"-"&amp;AJ49</f>
        <v>-</v>
      </c>
      <c r="AH50" s="573"/>
      <c r="AI50" s="210"/>
      <c r="AJ50" s="883"/>
      <c r="AK50" s="210"/>
      <c r="AL50" s="884"/>
      <c r="AM50" s="3840"/>
      <c r="AP50" s="3479" t="str">
        <f>IF(T50="","",T50)</f>
        <v/>
      </c>
      <c r="AS50" s="3432">
        <v>1</v>
      </c>
    </row>
    <row customHeight="1" ht="11.549999999999999">
      <c r="A51" s="3857" t="s">
        <v>209</v>
      </c>
      <c r="B51" s="3857" t="s">
        <v>210</v>
      </c>
      <c r="C51" s="3857" t="s">
        <v>211</v>
      </c>
      <c r="D51" s="3857" t="s">
        <v>212</v>
      </c>
      <c r="E51" s="3824"/>
      <c r="F51" s="3824"/>
      <c r="G51" s="3824"/>
      <c r="H51" s="3824"/>
      <c r="I51" s="3835"/>
      <c r="J51" s="3711"/>
      <c r="R51" s="3831"/>
      <c r="S51" s="844"/>
      <c r="T51" s="845" t="s">
        <v>426</v>
      </c>
      <c r="U51" s="200"/>
      <c r="V51" s="200"/>
      <c r="W51" s="200"/>
      <c r="X51" s="200"/>
      <c r="Y51" s="200"/>
      <c r="Z51" s="200"/>
      <c r="AA51" s="200"/>
      <c r="AB51" s="200"/>
      <c r="AC51" s="200"/>
      <c r="AD51" s="200"/>
      <c r="AE51" s="200"/>
      <c r="AF51" s="200"/>
      <c r="AG51" s="200"/>
      <c r="AH51" s="200"/>
      <c r="AI51" s="200"/>
      <c r="AJ51" s="200"/>
      <c r="AK51" s="200"/>
      <c r="AL51" s="846"/>
      <c r="AM51" s="3841"/>
      <c r="AP51" s="3479" t="str">
        <f>IF(T51="","",T51)</f>
        <v>Добавить вид теплоносителя (параметры теплоносителя)</v>
      </c>
      <c r="AS51" s="3432">
        <v>11</v>
      </c>
    </row>
    <row customHeight="1" ht="11.549999999999999">
      <c r="A52" s="3857" t="s">
        <v>209</v>
      </c>
      <c r="B52" s="3857" t="s">
        <v>210</v>
      </c>
      <c r="C52" s="3857" t="s">
        <v>211</v>
      </c>
      <c r="D52" s="3857" t="s">
        <v>212</v>
      </c>
      <c r="E52" s="3824"/>
      <c r="F52" s="3824"/>
      <c r="G52" s="3824"/>
      <c r="H52" s="3824"/>
      <c r="I52" s="3711"/>
      <c r="R52" s="3831"/>
      <c r="S52" s="844"/>
      <c r="T52" s="848" t="s">
        <v>427</v>
      </c>
      <c r="U52" s="200"/>
      <c r="V52" s="200"/>
      <c r="W52" s="200"/>
      <c r="X52" s="200"/>
      <c r="Y52" s="200"/>
      <c r="Z52" s="200"/>
      <c r="AA52" s="200"/>
      <c r="AB52" s="200"/>
      <c r="AC52" s="849"/>
      <c r="AD52" s="200"/>
      <c r="AE52" s="200"/>
      <c r="AF52" s="200"/>
      <c r="AG52" s="200"/>
      <c r="AH52" s="200"/>
      <c r="AI52" s="200"/>
      <c r="AJ52" s="200"/>
      <c r="AK52" s="849"/>
      <c r="AL52" s="200"/>
      <c r="AM52" s="850"/>
      <c r="AP52" s="3479" t="str">
        <f>IF(T52="","",T52)</f>
        <v>Добавить группу потребителей</v>
      </c>
      <c r="AS52" s="3432">
        <v>11</v>
      </c>
    </row>
    <row customHeight="1" ht="14.699999999999998">
      <c r="A53" s="3857" t="s">
        <v>209</v>
      </c>
      <c r="B53" s="3857" t="s">
        <v>210</v>
      </c>
      <c r="C53" s="3857" t="s">
        <v>211</v>
      </c>
      <c r="D53" s="3857" t="s">
        <v>212</v>
      </c>
      <c r="E53" s="3824"/>
      <c r="F53" s="3824"/>
      <c r="G53" s="3824"/>
      <c r="H53" s="3817"/>
      <c r="R53" s="816"/>
      <c r="S53" s="844"/>
      <c r="T53" s="851" t="s">
        <v>428</v>
      </c>
      <c r="U53" s="200"/>
      <c r="V53" s="200"/>
      <c r="W53" s="200"/>
      <c r="X53" s="200"/>
      <c r="Y53" s="200"/>
      <c r="Z53" s="200"/>
      <c r="AA53" s="200"/>
      <c r="AB53" s="200"/>
      <c r="AC53" s="849"/>
      <c r="AD53" s="200"/>
      <c r="AE53" s="200"/>
      <c r="AF53" s="200"/>
      <c r="AG53" s="200"/>
      <c r="AH53" s="200"/>
      <c r="AI53" s="200"/>
      <c r="AJ53" s="200"/>
      <c r="AK53" s="849"/>
      <c r="AL53" s="200"/>
      <c r="AM53" s="850"/>
      <c r="AP53" s="3479" t="str">
        <f>IF(T53="","",T53)</f>
        <v>Добавить схему подключения</v>
      </c>
      <c r="AS53" s="3432">
        <v>14</v>
      </c>
    </row>
    <row customHeight="1" ht="1.05">
      <c r="A54" s="3470" t="s">
        <v>209</v>
      </c>
      <c r="B54" s="3470" t="s">
        <v>210</v>
      </c>
      <c r="C54" s="3470" t="s">
        <v>211</v>
      </c>
      <c r="E54" s="3824"/>
      <c r="F54" s="3824"/>
      <c r="G54" s="3817"/>
      <c r="T54" s="856" t="s">
        <v>429</v>
      </c>
      <c r="AP54" s="3479" t="str">
        <f>IF(T54="","",T54)</f>
        <v>Добавить источник для дифференциации</v>
      </c>
      <c r="AS54" s="3473">
        <v>1</v>
      </c>
    </row>
    <row customHeight="1" ht="1.05">
      <c r="A55" s="3470" t="s">
        <v>209</v>
      </c>
      <c r="B55" s="3470" t="s">
        <v>210</v>
      </c>
      <c r="E55" s="3824"/>
      <c r="F55" s="3817"/>
      <c r="T55" s="856" t="s">
        <v>430</v>
      </c>
      <c r="AP55" s="3479" t="str">
        <f>IF(T55="","",T55)</f>
        <v>Добавить централизованную систему для дифференциации</v>
      </c>
      <c r="AS55" s="3473">
        <v>1</v>
      </c>
    </row>
    <row customHeight="1" ht="1.05">
      <c r="A56" s="3470" t="s">
        <v>209</v>
      </c>
      <c r="E56" s="3817"/>
      <c r="T56" s="856" t="s">
        <v>431</v>
      </c>
      <c r="AP56" s="3479" t="str">
        <f>IF(T56="","",T56)</f>
        <v>Добавить территорию для дифференциации</v>
      </c>
      <c r="AS56" s="3473">
        <v>1</v>
      </c>
    </row>
    <row customHeight="1" ht="1.05">
      <c r="T57" s="856" t="s">
        <v>463</v>
      </c>
      <c r="AP57" s="3479" t="str">
        <f>IF(T57="","",T57)</f>
        <v>Добавить наименование тарифа</v>
      </c>
      <c r="AS57" s="3473">
        <v>1</v>
      </c>
    </row>
    <row customHeight="1" ht="11.549999999999999">
      <c r="AS58" s="3432">
        <v>11</v>
      </c>
    </row>
    <row customHeight="1" ht="28.5">
      <c r="AS59" s="3432">
        <v>27</v>
      </c>
    </row>
    <row customHeight="1" ht="78.75">
      <c r="AS60" s="3432">
        <v>75</v>
      </c>
    </row>
    <row customHeight="1" ht="14.699999999999998">
      <c r="AS61" s="3432">
        <v>14</v>
      </c>
    </row>
    <row customHeight="1" ht="18.75">
      <c r="AS62" s="3432">
        <v>18</v>
      </c>
    </row>
    <row customHeight="1" ht="18.75">
      <c r="AS63" s="3432">
        <v>18</v>
      </c>
    </row>
    <row customHeight="1" ht="39.75">
      <c r="AS64" s="3432">
        <v>38</v>
      </c>
    </row>
    <row customHeight="1" ht="22.5" hidden="1">
      <c r="A65" s="3449" t="s">
        <v>80</v>
      </c>
      <c r="B65" s="3449">
        <v>0</v>
      </c>
      <c r="C65" s="3449">
        <v>0</v>
      </c>
      <c r="D65" s="3449">
        <v>0</v>
      </c>
      <c r="E65" s="3449">
        <v>0</v>
      </c>
      <c r="F65" s="3449">
        <v>0</v>
      </c>
      <c r="G65" s="3449">
        <v>0</v>
      </c>
      <c r="H65" s="3449">
        <v>0</v>
      </c>
      <c r="I65" s="3449">
        <v>0</v>
      </c>
      <c r="J65" s="3449">
        <v>0</v>
      </c>
      <c r="K65" s="3449">
        <v>0</v>
      </c>
      <c r="L65" s="3618">
        <v>0</v>
      </c>
      <c r="M65" s="105">
        <v>0</v>
      </c>
      <c r="N65" s="105">
        <v>0</v>
      </c>
      <c r="O65" s="105">
        <v>0</v>
      </c>
      <c r="P65" s="782">
        <v>3</v>
      </c>
      <c r="Q65" s="3797">
        <v>3</v>
      </c>
      <c r="R65" s="3797">
        <v>3</v>
      </c>
      <c r="S65" s="3447">
        <v>12</v>
      </c>
      <c r="T65" s="3432">
        <v>31</v>
      </c>
      <c r="U65" s="3432">
        <v>0</v>
      </c>
      <c r="V65" s="3432">
        <v>0</v>
      </c>
      <c r="W65" s="3432">
        <v>0</v>
      </c>
      <c r="X65" s="3432">
        <v>0</v>
      </c>
      <c r="Y65" s="3432">
        <v>0</v>
      </c>
      <c r="Z65" s="3432">
        <v>0</v>
      </c>
      <c r="AA65" s="3432">
        <v>0</v>
      </c>
      <c r="AB65" s="3432">
        <v>0</v>
      </c>
      <c r="AC65" s="3432">
        <v>0</v>
      </c>
      <c r="AD65" s="3432">
        <v>0</v>
      </c>
      <c r="AE65" s="3432">
        <v>24</v>
      </c>
      <c r="AF65" s="3432">
        <v>0</v>
      </c>
      <c r="AG65" s="3432">
        <v>0</v>
      </c>
      <c r="AH65" s="3432">
        <v>11</v>
      </c>
      <c r="AI65" s="3432">
        <v>3</v>
      </c>
      <c r="AJ65" s="3432">
        <v>11</v>
      </c>
      <c r="AK65" s="3432">
        <v>0</v>
      </c>
      <c r="AL65" s="3432">
        <v>4</v>
      </c>
      <c r="AM65" s="3432">
        <v>115</v>
      </c>
      <c r="AN65" s="3473">
        <v>10</v>
      </c>
      <c r="AO65" s="3473">
        <v>10</v>
      </c>
      <c r="AP65" s="3473">
        <v>10</v>
      </c>
      <c r="AQ65" s="3473">
        <v>10</v>
      </c>
      <c r="AR65" s="3473">
        <v>10</v>
      </c>
      <c r="AS65" s="343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1B9D5-5789-F7B1-7BD3-3B88A4C5631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6" style="7348" width="3.7109375" hidden="1" customWidth="1"/>
    <col min="17" max="18" style="7348" width="3.00390625" customWidth="1"/>
    <col min="19" max="19" style="7348" width="12.00390625" customWidth="1"/>
    <col min="20" max="20" style="7348" width="31.00390625" customWidth="1"/>
    <col min="21" max="21" style="7348" width="0.140625" customWidth="1"/>
    <col min="22" max="22" style="7348" width="24.7109375" hidden="1" customWidth="1"/>
    <col min="23" max="23" style="7348" width="0.140625" hidden="1" customWidth="1"/>
    <col min="24" max="25" style="7348" width="24.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24.7109375" customWidth="1"/>
    <col min="31" max="31" style="7348" width="0.140625" customWidth="1"/>
    <col min="32" max="33" style="7348" width="24.00390625" customWidth="1"/>
    <col min="34" max="34" style="7348" width="11.00390625" customWidth="1"/>
    <col min="35" max="35" style="7348" width="3.7109375" customWidth="1"/>
    <col min="36" max="36" style="7348" width="11.00390625" customWidth="1"/>
    <col min="37" max="37" style="7348" width="8.57421875" hidden="1" customWidth="1"/>
    <col min="38" max="38" style="7348" width="4.00390625" customWidth="1"/>
    <col min="39" max="39" style="7348" width="115.00390625" customWidth="1"/>
    <col min="40" max="44" style="7348" width="10.00390625" customWidth="1"/>
    <col min="45" max="45" style="7348" width="8.421875" hidden="1" customWidth="1"/>
  </cols>
  <sheetData>
    <row customHeight="1" ht="22.5" hidden="1">
      <c r="AS1" s="3432" t="s">
        <v>14</v>
      </c>
    </row>
    <row customHeight="1" ht="21" hidden="1">
      <c r="E2" s="3817">
        <v>1</v>
      </c>
      <c r="R2" s="816"/>
      <c r="S2" s="3818">
        <f>INDEX(PT_DIFFERENTIATION_NUM_NTAR,MATCH(A2,PT_DIFFERENTIATION_NTAR_ID,0))</f>
      </c>
      <c r="T2" s="3764" t="s">
        <v>141</v>
      </c>
      <c r="U2" s="3819"/>
      <c r="V2" s="3820"/>
      <c r="W2" s="3821"/>
      <c r="X2" s="3821"/>
      <c r="Y2" s="3821"/>
      <c r="Z2" s="3821"/>
      <c r="AA2" s="3821"/>
      <c r="AB2" s="3821"/>
      <c r="AC2" s="3822"/>
      <c r="AD2" s="3820">
        <f>INDEX(PT_DIFFERENTIATION_NTAR,MATCH(A2,PT_DIFFERENTIATION_NTAR_ID,0))</f>
      </c>
      <c r="AE2" s="3821"/>
      <c r="AF2" s="3821"/>
      <c r="AG2" s="3821"/>
      <c r="AH2" s="3821"/>
      <c r="AI2" s="3821"/>
      <c r="AJ2" s="3821"/>
      <c r="AK2" s="3821"/>
      <c r="AL2" s="3822"/>
      <c r="AM2" s="3823" t="s">
        <v>411</v>
      </c>
      <c r="AP2" s="3479" t="str">
        <f>IF(T2="","",T2)</f>
        <v>Наименование тарифа</v>
      </c>
      <c r="AS2" s="3432">
        <v>0</v>
      </c>
    </row>
    <row customHeight="1" ht="21" hidden="1">
      <c r="E3" s="3824"/>
      <c r="F3" s="3817">
        <v>1</v>
      </c>
      <c r="Q3" s="3825"/>
      <c r="R3" s="3826"/>
      <c r="S3" s="3818">
        <f>INDEX(PT_DIFFERENTIATION_NUM_TER,MATCH(B3,PT_DIFFERENTIATION_TER_ID,0))</f>
      </c>
      <c r="T3" s="3827" t="s">
        <v>412</v>
      </c>
      <c r="U3" s="3819"/>
      <c r="V3" s="3820"/>
      <c r="W3" s="3821"/>
      <c r="X3" s="3821"/>
      <c r="Y3" s="3821"/>
      <c r="Z3" s="3821"/>
      <c r="AA3" s="3821"/>
      <c r="AB3" s="3821"/>
      <c r="AC3" s="3822"/>
      <c r="AD3" s="3820">
        <f>INDEX(PT_DIFFERENTIATION_TER,MATCH(B3,PT_DIFFERENTIATION_TER_ID,0))</f>
      </c>
      <c r="AE3" s="3821"/>
      <c r="AF3" s="3821"/>
      <c r="AG3" s="3821"/>
      <c r="AH3" s="3821"/>
      <c r="AI3" s="3821"/>
      <c r="AJ3" s="3821"/>
      <c r="AK3" s="3821"/>
      <c r="AL3" s="3822"/>
      <c r="AM3" s="3823" t="s">
        <v>413</v>
      </c>
      <c r="AP3" s="3479" t="str">
        <f>IF(T3="","",T3)</f>
        <v>Территория действия тарифа</v>
      </c>
      <c r="AS3" s="3432">
        <v>0</v>
      </c>
    </row>
    <row customHeight="1" ht="23.25" hidden="1">
      <c r="E4" s="3824"/>
      <c r="F4" s="3824"/>
      <c r="G4" s="3817">
        <v>1</v>
      </c>
      <c r="Q4" s="3825"/>
      <c r="R4" s="3826"/>
      <c r="S4" s="3818">
        <f>INDEX(PT_DIFFERENTIATION_NUM_CS,MATCH(C4,PT_DIFFERENTIATION_CS_ID,0))</f>
      </c>
      <c r="T4" s="3828" t="s">
        <v>414</v>
      </c>
      <c r="U4" s="3819"/>
      <c r="V4" s="3820"/>
      <c r="W4" s="3821"/>
      <c r="X4" s="3821"/>
      <c r="Y4" s="3821"/>
      <c r="Z4" s="3821"/>
      <c r="AA4" s="3821"/>
      <c r="AB4" s="3821"/>
      <c r="AC4" s="3822"/>
      <c r="AD4" s="3820">
        <f>INDEX(PT_DIFFERENTIATION_CS,MATCH(C4,PT_DIFFERENTIATION_CS_ID,0))</f>
      </c>
      <c r="AE4" s="3821"/>
      <c r="AF4" s="3821"/>
      <c r="AG4" s="3821"/>
      <c r="AH4" s="3821"/>
      <c r="AI4" s="3821"/>
      <c r="AJ4" s="3821"/>
      <c r="AK4" s="3821"/>
      <c r="AL4" s="3822"/>
      <c r="AM4" s="3823" t="s">
        <v>415</v>
      </c>
      <c r="AP4" s="3479" t="str">
        <f>IF(T4="","",T4)</f>
        <v>Наименование системы теплоснабжения </v>
      </c>
      <c r="AS4" s="3432">
        <v>0</v>
      </c>
    </row>
    <row customHeight="1" ht="21" hidden="1">
      <c r="E5" s="3824"/>
      <c r="F5" s="3824"/>
      <c r="G5" s="3824"/>
      <c r="H5" s="3817">
        <v>1</v>
      </c>
      <c r="Q5" s="3825"/>
      <c r="R5" s="3826"/>
      <c r="S5" s="3818">
        <f>INDEX(PT_DIFFERENTIATION_NUM_IST_TE,MATCH(D5,PT_DIFFERENTIATION_IST_TE_ID,0))</f>
      </c>
      <c r="T5" s="3829" t="s">
        <v>416</v>
      </c>
      <c r="U5" s="3819"/>
      <c r="V5" s="3820"/>
      <c r="W5" s="3821"/>
      <c r="X5" s="3821"/>
      <c r="Y5" s="3821"/>
      <c r="Z5" s="3821"/>
      <c r="AA5" s="3821"/>
      <c r="AB5" s="3821"/>
      <c r="AC5" s="3822"/>
      <c r="AD5" s="3820">
        <f>INDEX(PT_DIFFERENTIATION_IST_TE,MATCH(D5,PT_DIFFERENTIATION_IST_TE_ID,0))</f>
      </c>
      <c r="AE5" s="3821"/>
      <c r="AF5" s="3821"/>
      <c r="AG5" s="3821"/>
      <c r="AH5" s="3821"/>
      <c r="AI5" s="3821"/>
      <c r="AJ5" s="3821"/>
      <c r="AK5" s="3821"/>
      <c r="AL5" s="3822"/>
      <c r="AM5" s="3823" t="s">
        <v>417</v>
      </c>
      <c r="AP5" s="3479" t="str">
        <f>IF(T5="","",T5)</f>
        <v>Источник тепловой энергии  </v>
      </c>
      <c r="AS5" s="3432">
        <v>0</v>
      </c>
    </row>
    <row customHeight="1" ht="14.25" hidden="1">
      <c r="E6" s="3824"/>
      <c r="F6" s="3824"/>
      <c r="G6" s="3824"/>
      <c r="H6" s="3824"/>
      <c r="I6" s="3711">
        <f>S5&amp;".1"</f>
      </c>
      <c r="L6" s="3830" t="s">
        <v>418</v>
      </c>
      <c r="P6" s="3471">
        <v>1</v>
      </c>
      <c r="R6" s="3831"/>
      <c r="S6" s="3582"/>
      <c r="T6" s="3860"/>
      <c r="U6" s="3861"/>
      <c r="V6" s="3862"/>
      <c r="W6" s="3863"/>
      <c r="X6" s="3863"/>
      <c r="Y6" s="3863"/>
      <c r="Z6" s="3863"/>
      <c r="AA6" s="3863"/>
      <c r="AB6" s="3863"/>
      <c r="AC6" s="3864"/>
      <c r="AD6" s="3862"/>
      <c r="AE6" s="3863"/>
      <c r="AF6" s="3863"/>
      <c r="AG6" s="3863"/>
      <c r="AH6" s="3863"/>
      <c r="AI6" s="3863"/>
      <c r="AJ6" s="3863"/>
      <c r="AK6" s="3863"/>
      <c r="AL6" s="3864"/>
      <c r="AM6" s="3865"/>
      <c r="AP6" s="3479" t="str">
        <f>IF(T6="","",T6)</f>
        <v/>
      </c>
      <c r="AS6" s="3432">
        <v>0</v>
      </c>
    </row>
    <row customHeight="1" ht="21" hidden="1">
      <c r="E7" s="3824"/>
      <c r="F7" s="3824"/>
      <c r="G7" s="3824"/>
      <c r="H7" s="3824"/>
      <c r="I7" s="3835"/>
      <c r="J7" s="3711">
        <f>I6&amp;".1"</f>
      </c>
      <c r="L7" s="3830" t="s">
        <v>421</v>
      </c>
      <c r="Q7" s="3471">
        <v>1</v>
      </c>
      <c r="R7" s="3836"/>
      <c r="S7" s="3818">
        <f>$J7</f>
      </c>
      <c r="T7" s="3837" t="s">
        <v>422</v>
      </c>
      <c r="U7" s="3819"/>
      <c r="V7" s="3638"/>
      <c r="W7" s="3833"/>
      <c r="X7" s="3833"/>
      <c r="Y7" s="3833"/>
      <c r="Z7" s="3833"/>
      <c r="AA7" s="3833"/>
      <c r="AB7" s="3833"/>
      <c r="AC7" s="3834"/>
      <c r="AD7" s="3638"/>
      <c r="AE7" s="3833"/>
      <c r="AF7" s="3833"/>
      <c r="AG7" s="3833"/>
      <c r="AH7" s="3833"/>
      <c r="AI7" s="3833"/>
      <c r="AJ7" s="3833"/>
      <c r="AK7" s="3833"/>
      <c r="AL7" s="3834"/>
      <c r="AM7" s="3823" t="s">
        <v>423</v>
      </c>
      <c r="AP7" s="3479" t="str">
        <f>IF(T7="","",T7)</f>
        <v>Группа потребителей</v>
      </c>
      <c r="AS7" s="3432">
        <v>0</v>
      </c>
    </row>
    <row customHeight="1" ht="21" hidden="1">
      <c r="E8" s="3824"/>
      <c r="F8" s="3824"/>
      <c r="G8" s="3824"/>
      <c r="H8" s="3824"/>
      <c r="I8" s="3835"/>
      <c r="J8" s="3835"/>
      <c r="K8" s="3711">
        <f>J7&amp;".1"</f>
      </c>
      <c r="L8" s="3830" t="s">
        <v>424</v>
      </c>
      <c r="R8" s="3836">
        <v>1</v>
      </c>
      <c r="S8" s="3818">
        <f>$K8</f>
      </c>
      <c r="T8" s="3838"/>
      <c r="U8" s="3819"/>
      <c r="V8" s="838"/>
      <c r="W8" s="839"/>
      <c r="X8" s="838"/>
      <c r="Y8" s="840"/>
      <c r="Z8" s="572"/>
      <c r="AA8" s="210" t="s">
        <v>61</v>
      </c>
      <c r="AB8" s="572"/>
      <c r="AC8" s="210" t="s">
        <v>61</v>
      </c>
      <c r="AD8" s="838"/>
      <c r="AE8" s="839"/>
      <c r="AF8" s="838"/>
      <c r="AG8" s="840"/>
      <c r="AH8" s="572"/>
      <c r="AI8" s="210" t="s">
        <v>61</v>
      </c>
      <c r="AJ8" s="572"/>
      <c r="AK8" s="210" t="s">
        <v>61</v>
      </c>
      <c r="AL8" s="839"/>
      <c r="AM8" s="3839" t="s">
        <v>425</v>
      </c>
      <c r="AN8" s="3473">
        <f>STRCHECKDATE(V9:AL9)</f>
      </c>
      <c r="AP8" s="3479" t="str">
        <f>IF(T8="","",T8)</f>
        <v/>
      </c>
      <c r="AS8" s="3432">
        <v>0</v>
      </c>
    </row>
    <row customHeight="1" ht="0.75" hidden="1">
      <c r="E9" s="3824"/>
      <c r="F9" s="3824"/>
      <c r="G9" s="3824"/>
      <c r="H9" s="3824"/>
      <c r="I9" s="3835"/>
      <c r="J9" s="3835"/>
      <c r="K9" s="3711"/>
      <c r="R9" s="3836"/>
      <c r="S9" s="421"/>
      <c r="T9" s="3819"/>
      <c r="U9" s="3819"/>
      <c r="V9" s="839"/>
      <c r="W9" s="839"/>
      <c r="X9" s="839"/>
      <c r="Y9" s="842" t="str">
        <f>Z8&amp;"-"&amp;AB8</f>
        <v>-</v>
      </c>
      <c r="Z9" s="573"/>
      <c r="AA9" s="210"/>
      <c r="AB9" s="573"/>
      <c r="AC9" s="210"/>
      <c r="AD9" s="839"/>
      <c r="AE9" s="839"/>
      <c r="AF9" s="839"/>
      <c r="AG9" s="842" t="str">
        <f>AH8&amp;"-"&amp;AJ8</f>
        <v>-</v>
      </c>
      <c r="AH9" s="573"/>
      <c r="AI9" s="210"/>
      <c r="AJ9" s="573"/>
      <c r="AK9" s="210"/>
      <c r="AL9" s="839"/>
      <c r="AM9" s="3840"/>
      <c r="AP9" s="3479" t="str">
        <f>IF(T9="","",T9)</f>
        <v/>
      </c>
      <c r="AS9" s="3432">
        <v>0</v>
      </c>
    </row>
    <row customHeight="1" ht="15" hidden="1">
      <c r="E10" s="3824"/>
      <c r="F10" s="3824"/>
      <c r="G10" s="3824"/>
      <c r="H10" s="3824"/>
      <c r="I10" s="3835"/>
      <c r="J10" s="3711"/>
      <c r="R10" s="3831"/>
      <c r="S10" s="844"/>
      <c r="T10" s="848" t="s">
        <v>426</v>
      </c>
      <c r="U10" s="200"/>
      <c r="V10" s="200"/>
      <c r="W10" s="200"/>
      <c r="X10" s="200"/>
      <c r="Y10" s="200"/>
      <c r="Z10" s="200"/>
      <c r="AA10" s="200"/>
      <c r="AB10" s="200"/>
      <c r="AC10" s="200"/>
      <c r="AD10" s="200"/>
      <c r="AE10" s="200"/>
      <c r="AF10" s="200"/>
      <c r="AG10" s="200"/>
      <c r="AH10" s="200"/>
      <c r="AI10" s="200"/>
      <c r="AJ10" s="200"/>
      <c r="AK10" s="200"/>
      <c r="AL10" s="846"/>
      <c r="AM10" s="3841"/>
      <c r="AP10" s="3479" t="str">
        <f>IF(T10="","",T10)</f>
        <v>Добавить вид теплоносителя (параметры теплоносителя)</v>
      </c>
      <c r="AS10" s="3432">
        <v>0</v>
      </c>
    </row>
    <row customHeight="1" ht="15" hidden="1">
      <c r="E11" s="3824"/>
      <c r="F11" s="3824"/>
      <c r="G11" s="3824"/>
      <c r="H11" s="3824"/>
      <c r="I11" s="3711"/>
      <c r="R11" s="3831"/>
      <c r="S11" s="844"/>
      <c r="T11" s="851" t="s">
        <v>427</v>
      </c>
      <c r="U11" s="200"/>
      <c r="V11" s="200"/>
      <c r="W11" s="200"/>
      <c r="X11" s="200"/>
      <c r="Y11" s="200"/>
      <c r="Z11" s="200"/>
      <c r="AA11" s="200"/>
      <c r="AB11" s="200"/>
      <c r="AC11" s="849"/>
      <c r="AD11" s="200"/>
      <c r="AE11" s="200"/>
      <c r="AF11" s="200"/>
      <c r="AG11" s="200"/>
      <c r="AH11" s="200"/>
      <c r="AI11" s="200"/>
      <c r="AJ11" s="200"/>
      <c r="AK11" s="849"/>
      <c r="AL11" s="200"/>
      <c r="AM11" s="850"/>
      <c r="AP11" s="3479" t="str">
        <f>IF(T11="","",T11)</f>
        <v>Добавить группу потребителей</v>
      </c>
      <c r="AS11" s="3432">
        <v>0</v>
      </c>
    </row>
    <row customHeight="1" ht="14.25" hidden="1">
      <c r="E12" s="3824"/>
      <c r="F12" s="3824"/>
      <c r="G12" s="3824"/>
      <c r="H12" s="3817"/>
      <c r="R12" s="816"/>
      <c r="S12" s="894"/>
      <c r="T12" s="895"/>
      <c r="U12" s="896"/>
      <c r="V12" s="896"/>
      <c r="W12" s="896"/>
      <c r="X12" s="896"/>
      <c r="Y12" s="896"/>
      <c r="Z12" s="896"/>
      <c r="AA12" s="896"/>
      <c r="AB12" s="896"/>
      <c r="AC12" s="896"/>
      <c r="AD12" s="896"/>
      <c r="AE12" s="896"/>
      <c r="AF12" s="896"/>
      <c r="AG12" s="896"/>
      <c r="AH12" s="896"/>
      <c r="AI12" s="896"/>
      <c r="AJ12" s="896"/>
      <c r="AK12" s="896"/>
      <c r="AL12" s="896"/>
      <c r="AM12" s="897"/>
      <c r="AP12" s="3479" t="str">
        <f>IF(T12="","",T12)</f>
        <v/>
      </c>
      <c r="AS12" s="3432">
        <v>0</v>
      </c>
    </row>
    <row customHeight="1" ht="0.75" hidden="1">
      <c r="E13" s="3824"/>
      <c r="F13" s="3824"/>
      <c r="G13" s="3817"/>
      <c r="S13" s="852"/>
      <c r="T13" s="853" t="s">
        <v>429</v>
      </c>
      <c r="U13" s="854"/>
      <c r="V13" s="854"/>
      <c r="W13" s="854"/>
      <c r="X13" s="854"/>
      <c r="Y13" s="854"/>
      <c r="Z13" s="854"/>
      <c r="AA13" s="854"/>
      <c r="AB13" s="854"/>
      <c r="AC13" s="854"/>
      <c r="AD13" s="854"/>
      <c r="AE13" s="854"/>
      <c r="AF13" s="854"/>
      <c r="AG13" s="854"/>
      <c r="AH13" s="854"/>
      <c r="AI13" s="854"/>
      <c r="AJ13" s="854"/>
      <c r="AK13" s="854"/>
      <c r="AL13" s="854"/>
      <c r="AM13" s="854"/>
      <c r="AP13" s="3479" t="str">
        <f>IF(T13="","",T13)</f>
        <v>Добавить источник для дифференциации</v>
      </c>
      <c r="AS13" s="3473">
        <v>0</v>
      </c>
    </row>
    <row customHeight="1" ht="0.75" hidden="1">
      <c r="E14" s="3824"/>
      <c r="F14" s="3817"/>
      <c r="T14" s="855" t="s">
        <v>430</v>
      </c>
      <c r="AP14" s="3479" t="str">
        <f>IF(T14="","",T14)</f>
        <v>Добавить централизованную систему для дифференциации</v>
      </c>
      <c r="AS14" s="3473">
        <v>0</v>
      </c>
    </row>
    <row customHeight="1" ht="0.75" hidden="1">
      <c r="E15" s="3817"/>
      <c r="T15" s="856" t="s">
        <v>431</v>
      </c>
      <c r="AP15" s="3479" t="str">
        <f>IF(T15="","",T15)</f>
        <v>Добавить территорию для дифференциации</v>
      </c>
      <c r="AS15" s="3473">
        <v>0</v>
      </c>
    </row>
    <row customHeight="1" ht="14.25" hidden="1">
      <c r="AS16" s="3432">
        <v>0</v>
      </c>
    </row>
    <row customHeight="1" ht="14.25" hidden="1">
      <c r="AD17" s="719"/>
      <c r="AE17" s="719"/>
      <c r="AF17" s="719"/>
      <c r="AG17" s="857"/>
      <c r="AH17" s="858"/>
      <c r="AI17" s="616" t="s">
        <v>61</v>
      </c>
      <c r="AJ17" s="858"/>
      <c r="AK17" s="616" t="s">
        <v>61</v>
      </c>
      <c r="AS17" s="3432">
        <v>0</v>
      </c>
    </row>
    <row customHeight="1" ht="14.25" hidden="1">
      <c r="AD18" s="719"/>
      <c r="AE18" s="719"/>
      <c r="AF18" s="719"/>
      <c r="AG18" s="842" t="str">
        <f>AH17&amp;"-"&amp;AJ17</f>
        <v>-</v>
      </c>
      <c r="AH18" s="616"/>
      <c r="AI18" s="616"/>
      <c r="AJ18" s="616"/>
      <c r="AK18" s="616"/>
      <c r="AS18" s="3432">
        <v>0</v>
      </c>
    </row>
    <row customHeight="1" ht="14.25" hidden="1">
      <c r="AS19" s="3432">
        <v>0</v>
      </c>
    </row>
    <row customHeight="1" ht="22.5" hidden="1">
      <c r="O20" s="859" t="s">
        <v>432</v>
      </c>
      <c r="Z20" s="859"/>
      <c r="AB20" s="859"/>
      <c r="AH20" s="859"/>
      <c r="AJ20" s="859"/>
      <c r="AS20" s="3449">
        <v>0</v>
      </c>
    </row>
    <row customHeight="1" ht="14.25" hidden="1">
      <c r="AS21" s="3449">
        <v>0</v>
      </c>
    </row>
    <row customHeight="1" ht="14.25" hidden="1">
      <c r="O22" s="3830" t="s">
        <v>433</v>
      </c>
      <c r="T22" s="3449" t="s">
        <v>434</v>
      </c>
      <c r="AA22" s="3511" t="s">
        <v>435</v>
      </c>
      <c r="AC22" s="3511" t="s">
        <v>436</v>
      </c>
      <c r="AD22" s="3449" t="s">
        <v>434</v>
      </c>
      <c r="AI22" s="3511" t="s">
        <v>437</v>
      </c>
      <c r="AK22" s="3511" t="s">
        <v>436</v>
      </c>
      <c r="AS22" s="3449">
        <v>0</v>
      </c>
    </row>
    <row customHeight="1" ht="14.25" hidden="1">
      <c r="AS23" s="3432">
        <v>0</v>
      </c>
    </row>
    <row customHeight="1" ht="14.25" hidden="1">
      <c r="AS24" s="3432">
        <v>0</v>
      </c>
    </row>
    <row customHeight="1" ht="14.699999999999998">
      <c r="Q25" s="3719"/>
      <c r="R25" s="3719"/>
      <c r="S25" s="3842"/>
      <c r="T25" s="3450"/>
      <c r="U25" s="3450"/>
      <c r="AS25" s="3432">
        <v>14</v>
      </c>
    </row>
    <row customHeight="1" ht="63">
      <c r="Q26" s="3719"/>
      <c r="R26" s="3719"/>
      <c r="S26" s="3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46"/>
      <c r="U26" s="3646"/>
      <c r="V26" s="3646"/>
      <c r="W26" s="3646"/>
      <c r="X26" s="3646"/>
      <c r="Y26" s="3646"/>
      <c r="Z26" s="3646"/>
      <c r="AA26" s="3646"/>
      <c r="AB26" s="3646"/>
      <c r="AC26" s="3646"/>
      <c r="AD26" s="3646"/>
      <c r="AE26" s="3646"/>
      <c r="AF26" s="3646"/>
      <c r="AG26" s="3646"/>
      <c r="AH26" s="3646"/>
      <c r="AI26" s="3646"/>
      <c r="AJ26" s="3646"/>
      <c r="AS26" s="3432">
        <v>60</v>
      </c>
    </row>
    <row customHeight="1" ht="14.699999999999998">
      <c r="Q27" s="3719"/>
      <c r="R27" s="3719"/>
      <c r="S27" s="3554" t="str">
        <f>IF(org=0,"Не определено",org)</f>
        <v>ООО "ТеплоЭлектроГенерирующая Компания"</v>
      </c>
      <c r="T27" s="3554"/>
      <c r="U27" s="3554"/>
      <c r="V27" s="3554"/>
      <c r="W27" s="3554"/>
      <c r="X27" s="3554"/>
      <c r="Y27" s="3554"/>
      <c r="Z27" s="3554"/>
      <c r="AA27" s="3554"/>
      <c r="AB27" s="3554"/>
      <c r="AC27" s="3554"/>
      <c r="AD27" s="3554"/>
      <c r="AE27" s="3554"/>
      <c r="AF27" s="3554"/>
      <c r="AG27" s="3554"/>
      <c r="AH27" s="3554"/>
      <c r="AI27" s="3554"/>
      <c r="AJ27" s="3554"/>
      <c r="AS27" s="3432">
        <v>14</v>
      </c>
    </row>
    <row customHeight="1" ht="14.25" hidden="1">
      <c r="Q28" s="3719"/>
      <c r="R28" s="3719"/>
      <c r="S28" s="3842"/>
      <c r="T28" s="3450"/>
      <c r="U28" s="3450"/>
      <c r="V28" s="3804"/>
      <c r="W28" s="3804"/>
      <c r="X28" s="3804"/>
      <c r="Y28" s="3804"/>
      <c r="Z28" s="3804"/>
      <c r="AA28" s="3804"/>
      <c r="AB28" s="3804"/>
      <c r="AC28" s="3804"/>
      <c r="AD28" s="3804"/>
      <c r="AE28" s="3804"/>
      <c r="AF28" s="3804"/>
      <c r="AG28" s="3804"/>
      <c r="AH28" s="3804"/>
      <c r="AI28" s="3804"/>
      <c r="AJ28" s="3804"/>
      <c r="AK28" s="3804"/>
      <c r="AS28" s="3432">
        <v>0</v>
      </c>
    </row>
    <row customHeight="1" ht="25.5" hidden="1">
      <c r="S29" s="3843" t="s">
        <v>41</v>
      </c>
      <c r="T29" s="3843"/>
      <c r="U29" s="3844"/>
      <c r="V29" s="3806" t="str">
        <f>IF(TITLE_NAME_OR_PR_CHANGE="",IF(TITLE_NAME_OR_PR="","",TITLE_NAME_OR_PR),TITLE_NAME_OR_PR_CHANGE)</f>
        <v/>
      </c>
      <c r="W29" s="3806"/>
      <c r="X29" s="3806"/>
      <c r="Y29" s="3806"/>
      <c r="Z29" s="3806"/>
      <c r="AA29" s="3806"/>
      <c r="AB29" s="3806"/>
      <c r="AD29" s="3806" t="str">
        <f>IF(TITLE_NAME_OR_PR_CHANGE="",IF(TITLE_NAME_OR_PR="","",TITLE_NAME_OR_PR),TITLE_NAME_OR_PR_CHANGE)</f>
        <v/>
      </c>
      <c r="AE29" s="3806"/>
      <c r="AF29" s="3806"/>
      <c r="AG29" s="3806"/>
      <c r="AH29" s="3806"/>
      <c r="AI29" s="3806"/>
      <c r="AJ29" s="3806"/>
      <c r="AS29" s="3489">
        <v>0</v>
      </c>
    </row>
    <row customHeight="1" ht="18.75" hidden="1">
      <c r="S30" s="3843" t="s">
        <v>438</v>
      </c>
      <c r="T30" s="3843"/>
      <c r="U30" s="3844"/>
      <c r="V30" s="795" t="str">
        <f>IF(TITLE_DATE_PR_CHANGE="",IF(TITLE_DATE_PR="","",TITLE_DATE_PR),TITLE_DATE_PR_CHANGE)</f>
        <v/>
      </c>
      <c r="W30" s="795"/>
      <c r="X30" s="795"/>
      <c r="Y30" s="795"/>
      <c r="Z30" s="795"/>
      <c r="AA30" s="795"/>
      <c r="AB30" s="795"/>
      <c r="AD30" s="795" t="str">
        <f>IF(TITLE_DATE_PR_CHANGE="",IF(TITLE_DATE_PR="","",TITLE_DATE_PR),TITLE_DATE_PR_CHANGE)</f>
        <v/>
      </c>
      <c r="AE30" s="795"/>
      <c r="AF30" s="795"/>
      <c r="AG30" s="795"/>
      <c r="AH30" s="795"/>
      <c r="AI30" s="795"/>
      <c r="AJ30" s="795"/>
      <c r="AS30" s="3489">
        <v>0</v>
      </c>
    </row>
    <row customHeight="1" ht="18.75" hidden="1">
      <c r="S31" s="3843" t="s">
        <v>439</v>
      </c>
      <c r="T31" s="3843"/>
      <c r="U31" s="3844"/>
      <c r="V31" s="3806" t="str">
        <f>IF(TITLE_NUMBER_PR_CHANGE="",IF(TITLE_NUMBER_PR="","",TITLE_NUMBER_PR),TITLE_NUMBER_PR_CHANGE)</f>
        <v/>
      </c>
      <c r="W31" s="3806"/>
      <c r="X31" s="3806"/>
      <c r="Y31" s="3806"/>
      <c r="Z31" s="3806"/>
      <c r="AA31" s="3806"/>
      <c r="AB31" s="3806"/>
      <c r="AD31" s="3806" t="str">
        <f>IF(TITLE_NUMBER_PR_CHANGE="",IF(TITLE_NUMBER_PR="","",TITLE_NUMBER_PR),TITLE_NUMBER_PR_CHANGE)</f>
        <v/>
      </c>
      <c r="AE31" s="3806"/>
      <c r="AF31" s="3806"/>
      <c r="AG31" s="3806"/>
      <c r="AH31" s="3806"/>
      <c r="AI31" s="3806"/>
      <c r="AJ31" s="3806"/>
      <c r="AS31" s="3489">
        <v>0</v>
      </c>
    </row>
    <row customHeight="1" ht="18.75" hidden="1">
      <c r="S32" s="3843" t="s">
        <v>42</v>
      </c>
      <c r="T32" s="3843"/>
      <c r="U32" s="3844"/>
      <c r="V32" s="3806" t="str">
        <f>IF(TITLE_IST_PUB_CHANGE="",IF(TITLE_IST_PUB="","",TITLE_IST_PUB),TITLE_IST_PUB_CHANGE)</f>
        <v/>
      </c>
      <c r="W32" s="3806"/>
      <c r="X32" s="3806"/>
      <c r="Y32" s="3806"/>
      <c r="Z32" s="3806"/>
      <c r="AA32" s="3806"/>
      <c r="AB32" s="3806"/>
      <c r="AD32" s="3806" t="str">
        <f>IF(TITLE_IST_PUB_CHANGE="",IF(TITLE_IST_PUB="","",TITLE_IST_PUB),TITLE_IST_PUB_CHANGE)</f>
        <v/>
      </c>
      <c r="AE32" s="3806"/>
      <c r="AF32" s="3806"/>
      <c r="AG32" s="3806"/>
      <c r="AH32" s="3806"/>
      <c r="AI32" s="3806"/>
      <c r="AJ32" s="3806"/>
      <c r="AS32" s="3489">
        <v>0</v>
      </c>
    </row>
    <row customHeight="1" ht="14.25" hidden="1">
      <c r="Q33" s="3719"/>
      <c r="R33" s="3719"/>
      <c r="S33" s="3842"/>
      <c r="T33" s="3450"/>
      <c r="U33" s="3450"/>
      <c r="V33" s="3804"/>
      <c r="W33" s="3804"/>
      <c r="X33" s="3804"/>
      <c r="Y33" s="3804"/>
      <c r="Z33" s="3804"/>
      <c r="AA33" s="3804"/>
      <c r="AB33" s="3804"/>
      <c r="AC33" s="3804"/>
      <c r="AD33" s="3804"/>
      <c r="AE33" s="3804"/>
      <c r="AF33" s="3804"/>
      <c r="AG33" s="3804"/>
      <c r="AH33" s="3804"/>
      <c r="AI33" s="3804"/>
      <c r="AJ33" s="3804"/>
      <c r="AK33" s="3804"/>
      <c r="AS33" s="3432">
        <v>0</v>
      </c>
    </row>
    <row customHeight="1" ht="18.75" hidden="1">
      <c r="S34" s="3843" t="s">
        <v>440</v>
      </c>
      <c r="T34" s="3843"/>
      <c r="U34" s="3844"/>
      <c r="V34" s="795" t="str">
        <f>IF(TITLE_DATE_PR_CHANGE="",IF(TITLE_DATE_PR="","",TITLE_DATE_PR),TITLE_DATE_PR_CHANGE)</f>
        <v/>
      </c>
      <c r="W34" s="795"/>
      <c r="X34" s="795"/>
      <c r="Y34" s="795"/>
      <c r="Z34" s="795"/>
      <c r="AA34" s="795"/>
      <c r="AB34" s="795"/>
      <c r="AD34" s="795" t="str">
        <f>IF(TITLE_DATE_PR_CHANGE="",IF(TITLE_DATE_PR="","",TITLE_DATE_PR),TITLE_DATE_PR_CHANGE)</f>
        <v/>
      </c>
      <c r="AE34" s="795"/>
      <c r="AF34" s="795"/>
      <c r="AG34" s="795"/>
      <c r="AH34" s="795"/>
      <c r="AI34" s="795"/>
      <c r="AJ34" s="795"/>
      <c r="AS34" s="3489">
        <v>0</v>
      </c>
    </row>
    <row customHeight="1" ht="18.75" hidden="1">
      <c r="S35" s="3843" t="s">
        <v>441</v>
      </c>
      <c r="T35" s="3843"/>
      <c r="U35" s="3844"/>
      <c r="V35" s="3806" t="str">
        <f>IF(TITLE_NUMBER_PR_CHANGE="",IF(TITLE_NUMBER_PR="","",TITLE_NUMBER_PR),TITLE_NUMBER_PR_CHANGE)</f>
        <v/>
      </c>
      <c r="W35" s="3806"/>
      <c r="X35" s="3806"/>
      <c r="Y35" s="3806"/>
      <c r="Z35" s="3806"/>
      <c r="AA35" s="3806"/>
      <c r="AB35" s="3806"/>
      <c r="AD35" s="3806" t="str">
        <f>IF(TITLE_NUMBER_PR_CHANGE="",IF(TITLE_NUMBER_PR="","",TITLE_NUMBER_PR),TITLE_NUMBER_PR_CHANGE)</f>
        <v/>
      </c>
      <c r="AE35" s="3806"/>
      <c r="AF35" s="3806"/>
      <c r="AG35" s="3806"/>
      <c r="AH35" s="3806"/>
      <c r="AI35" s="3806"/>
      <c r="AJ35" s="3806"/>
      <c r="AS35" s="3489">
        <v>0</v>
      </c>
    </row>
    <row customHeight="1" ht="0">
      <c r="AC36" s="3473" t="s">
        <v>442</v>
      </c>
      <c r="AK36" s="3473" t="s">
        <v>442</v>
      </c>
      <c r="AS36" s="3489">
        <v>0</v>
      </c>
    </row>
    <row customHeight="1" ht="14.699999999999998">
      <c r="Q37" s="3719"/>
      <c r="R37" s="3719"/>
      <c r="S37" s="3842"/>
      <c r="T37" s="3450"/>
      <c r="U37" s="3845"/>
      <c r="V37" s="3846"/>
      <c r="W37" s="3846"/>
      <c r="X37" s="3846"/>
      <c r="Y37" s="3846"/>
      <c r="Z37" s="3846"/>
      <c r="AA37" s="3846"/>
      <c r="AB37" s="3846"/>
      <c r="AC37" s="3846"/>
      <c r="AD37" s="3846"/>
      <c r="AE37" s="3846"/>
      <c r="AF37" s="3846"/>
      <c r="AG37" s="3846"/>
      <c r="AH37" s="3846"/>
      <c r="AI37" s="3846"/>
      <c r="AJ37" s="3846"/>
      <c r="AK37" s="3846"/>
      <c r="AS37" s="3432">
        <v>14</v>
      </c>
    </row>
    <row customHeight="1" ht="14.699999999999998">
      <c r="Q38" s="3719"/>
      <c r="R38" s="3719"/>
      <c r="S38" s="3480" t="s">
        <v>315</v>
      </c>
      <c r="T38" s="3480"/>
      <c r="U38" s="3480"/>
      <c r="V38" s="3480"/>
      <c r="W38" s="3480"/>
      <c r="X38" s="3480"/>
      <c r="Y38" s="3480"/>
      <c r="Z38" s="3480"/>
      <c r="AA38" s="3480"/>
      <c r="AB38" s="3480"/>
      <c r="AC38" s="3480"/>
      <c r="AD38" s="3480"/>
      <c r="AE38" s="3480"/>
      <c r="AF38" s="3480"/>
      <c r="AG38" s="3480"/>
      <c r="AH38" s="3480"/>
      <c r="AI38" s="3480"/>
      <c r="AJ38" s="3480"/>
      <c r="AK38" s="3480"/>
      <c r="AL38" s="3480"/>
      <c r="AM38" s="3480" t="s">
        <v>316</v>
      </c>
      <c r="AS38" s="3432">
        <v>14</v>
      </c>
    </row>
    <row customHeight="1" ht="14.699999999999998">
      <c r="Q39" s="3719"/>
      <c r="R39" s="3719"/>
      <c r="S39" s="3818" t="s">
        <v>86</v>
      </c>
      <c r="T39" s="3579" t="s">
        <v>443</v>
      </c>
      <c r="U39" s="3793"/>
      <c r="V39" s="3847" t="s">
        <v>444</v>
      </c>
      <c r="W39" s="3848"/>
      <c r="X39" s="3848"/>
      <c r="Y39" s="3848"/>
      <c r="Z39" s="3848"/>
      <c r="AA39" s="3848"/>
      <c r="AB39" s="3849"/>
      <c r="AC39" s="3807" t="s">
        <v>445</v>
      </c>
      <c r="AD39" s="3847" t="s">
        <v>444</v>
      </c>
      <c r="AE39" s="3848"/>
      <c r="AF39" s="3848"/>
      <c r="AG39" s="3848"/>
      <c r="AH39" s="3848"/>
      <c r="AI39" s="3848"/>
      <c r="AJ39" s="3849"/>
      <c r="AK39" s="3807" t="s">
        <v>446</v>
      </c>
      <c r="AL39" s="868" t="s">
        <v>447</v>
      </c>
      <c r="AM39" s="3480"/>
      <c r="AS39" s="3432">
        <v>14</v>
      </c>
    </row>
    <row customHeight="1" ht="35.699999999999996">
      <c r="Q40" s="3719"/>
      <c r="R40" s="3719"/>
      <c r="S40" s="3818"/>
      <c r="T40" s="3579"/>
      <c r="U40" s="3798"/>
      <c r="V40" s="3558" t="s">
        <v>448</v>
      </c>
      <c r="W40" s="3850"/>
      <c r="X40" s="3437" t="s">
        <v>450</v>
      </c>
      <c r="Y40" s="3436"/>
      <c r="Z40" s="3437" t="s">
        <v>451</v>
      </c>
      <c r="AA40" s="3477"/>
      <c r="AB40" s="3436"/>
      <c r="AC40" s="3851"/>
      <c r="AD40" s="3558" t="s">
        <v>465</v>
      </c>
      <c r="AE40" s="3850"/>
      <c r="AF40" s="3437" t="s">
        <v>450</v>
      </c>
      <c r="AG40" s="3436"/>
      <c r="AH40" s="3437" t="s">
        <v>451</v>
      </c>
      <c r="AI40" s="3477"/>
      <c r="AJ40" s="3436"/>
      <c r="AK40" s="3851"/>
      <c r="AL40" s="871"/>
      <c r="AM40" s="3480"/>
      <c r="AS40" s="3432">
        <v>34</v>
      </c>
    </row>
    <row customHeight="1" ht="35.699999999999996">
      <c r="B41" s="3511" t="s">
        <v>153</v>
      </c>
      <c r="C41" s="3511" t="s">
        <v>154</v>
      </c>
      <c r="D41" s="3511" t="s">
        <v>155</v>
      </c>
      <c r="E41" s="3830" t="s">
        <v>452</v>
      </c>
      <c r="F41" s="3830" t="s">
        <v>453</v>
      </c>
      <c r="G41" s="3830" t="s">
        <v>454</v>
      </c>
      <c r="H41" s="3830" t="s">
        <v>455</v>
      </c>
      <c r="I41" s="3830" t="s">
        <v>456</v>
      </c>
      <c r="J41" s="3830" t="s">
        <v>457</v>
      </c>
      <c r="K41" s="3830" t="s">
        <v>458</v>
      </c>
      <c r="L41" s="3830" t="s">
        <v>433</v>
      </c>
      <c r="Q41" s="3719"/>
      <c r="R41" s="3719"/>
      <c r="S41" s="3818"/>
      <c r="T41" s="3579"/>
      <c r="U41" s="3852"/>
      <c r="V41" s="3483"/>
      <c r="W41" s="3710"/>
      <c r="X41" s="3525" t="s">
        <v>459</v>
      </c>
      <c r="Y41" s="3525" t="s">
        <v>460</v>
      </c>
      <c r="Z41" s="3525" t="s">
        <v>461</v>
      </c>
      <c r="AA41" s="3626" t="s">
        <v>462</v>
      </c>
      <c r="AB41" s="3628"/>
      <c r="AC41" s="3810"/>
      <c r="AD41" s="3483"/>
      <c r="AE41" s="3710"/>
      <c r="AF41" s="3525" t="s">
        <v>459</v>
      </c>
      <c r="AG41" s="3525" t="s">
        <v>460</v>
      </c>
      <c r="AH41" s="3525" t="s">
        <v>461</v>
      </c>
      <c r="AI41" s="3626" t="s">
        <v>462</v>
      </c>
      <c r="AJ41" s="3628"/>
      <c r="AK41" s="3810"/>
      <c r="AL41" s="873"/>
      <c r="AM41" s="3480"/>
      <c r="AS41" s="3432">
        <v>34</v>
      </c>
    </row>
    <row customHeight="1" ht="11.25" hidden="1">
      <c r="Q42" s="3853"/>
      <c r="R42" s="3854">
        <v>1</v>
      </c>
      <c r="S42" s="876" t="s">
        <v>107</v>
      </c>
      <c r="T42" s="877" t="s">
        <v>108</v>
      </c>
      <c r="U42" s="3855" t="str">
        <f>OFFSET(U42,0,-1)</f>
        <v>2</v>
      </c>
      <c r="V42" s="3856">
        <f>OFFSET(V42,0,-1)+1</f>
        <v>3</v>
      </c>
      <c r="W42" s="3856"/>
      <c r="X42" s="3856">
        <f>OFFSET(X42,0,-1)+1</f>
        <v>1</v>
      </c>
      <c r="Y42" s="3856">
        <f>OFFSET(Y42,0,-1)+1</f>
        <v>2</v>
      </c>
      <c r="Z42" s="3856">
        <f>OFFSET(Z42,0,-1)+1</f>
        <v>3</v>
      </c>
      <c r="AA42" s="3856">
        <f>OFFSET(AA42,0,-1)+1</f>
        <v>4</v>
      </c>
      <c r="AB42" s="3856"/>
      <c r="AC42" s="3856">
        <f>OFFSET(AC42,0,-2)+1</f>
        <v>5</v>
      </c>
      <c r="AD42" s="3856">
        <f>OFFSET(AD42,0,-1)+1</f>
        <v>6</v>
      </c>
      <c r="AE42" s="3856"/>
      <c r="AF42" s="3856">
        <f>OFFSET(AF42,0,-1)+1</f>
        <v>1</v>
      </c>
      <c r="AG42" s="3856">
        <f>OFFSET(AG42,0,-1)+1</f>
        <v>2</v>
      </c>
      <c r="AH42" s="3856">
        <f>OFFSET(AH42,0,-1)+1</f>
        <v>3</v>
      </c>
      <c r="AI42" s="3856">
        <f>OFFSET(AI42,0,-1)+1</f>
        <v>4</v>
      </c>
      <c r="AJ42" s="3856"/>
      <c r="AK42" s="3856">
        <f>OFFSET(AK42,0,-2)+1</f>
        <v>5</v>
      </c>
      <c r="AL42" s="3855">
        <f>OFFSET(AL42,0,-1)</f>
        <v>5</v>
      </c>
      <c r="AM42" s="3856">
        <f>OFFSET(AM42,0,-1)+1</f>
        <v>6</v>
      </c>
      <c r="AS42" s="3637">
        <v>0</v>
      </c>
    </row>
    <row customHeight="1" ht="22.049999999999997">
      <c r="A43" s="3857" t="s">
        <v>185</v>
      </c>
      <c r="E43" s="3817">
        <v>1</v>
      </c>
      <c r="R43" s="816"/>
      <c r="S43" s="3818">
        <f>INDEX(PT_DIFFERENTIATION_NUM_NTAR,MATCH(A43,PT_DIFFERENTIATION_NTAR_ID,0))</f>
        <v>0</v>
      </c>
      <c r="T43" s="3764" t="s">
        <v>141</v>
      </c>
      <c r="U43" s="3819"/>
      <c r="V43" s="3820"/>
      <c r="W43" s="3821"/>
      <c r="X43" s="3821"/>
      <c r="Y43" s="3821"/>
      <c r="Z43" s="3821"/>
      <c r="AA43" s="3821"/>
      <c r="AB43" s="3821"/>
      <c r="AC43" s="3822"/>
      <c r="AD43" s="3820" t="str">
        <f>INDEX(PT_DIFFERENTIATION_NTAR,MATCH(A43,PT_DIFFERENTIATION_NTAR_ID,0))</f>
        <v/>
      </c>
      <c r="AE43" s="3821"/>
      <c r="AF43" s="3821"/>
      <c r="AG43" s="3821"/>
      <c r="AH43" s="3821"/>
      <c r="AI43" s="3821"/>
      <c r="AJ43" s="3821"/>
      <c r="AK43" s="3821"/>
      <c r="AL43" s="3822"/>
      <c r="AM43" s="38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3479" t="str">
        <f>IF(T43="","",T43)</f>
        <v>Наименование тарифа</v>
      </c>
      <c r="AS43" s="3432">
        <v>21</v>
      </c>
    </row>
    <row customHeight="1" ht="22.049999999999997">
      <c r="A44" s="3857" t="s">
        <v>185</v>
      </c>
      <c r="B44" s="3857" t="s">
        <v>186</v>
      </c>
      <c r="E44" s="3824"/>
      <c r="F44" s="3817">
        <v>1</v>
      </c>
      <c r="Q44" s="3825"/>
      <c r="R44" s="3826"/>
      <c r="S44" s="3818" t="str">
        <f>INDEX(PT_DIFFERENTIATION_NUM_TER,MATCH(B44,PT_DIFFERENTIATION_TER_ID,0))</f>
        <v>.</v>
      </c>
      <c r="T44" s="3827" t="s">
        <v>412</v>
      </c>
      <c r="U44" s="3819"/>
      <c r="V44" s="3820"/>
      <c r="W44" s="3821"/>
      <c r="X44" s="3821"/>
      <c r="Y44" s="3821"/>
      <c r="Z44" s="3821"/>
      <c r="AA44" s="3821"/>
      <c r="AB44" s="3821"/>
      <c r="AC44" s="3822"/>
      <c r="AD44" s="3820" t="str">
        <f>INDEX(PT_DIFFERENTIATION_TER,MATCH(B44,PT_DIFFERENTIATION_TER_ID,0))</f>
        <v/>
      </c>
      <c r="AE44" s="3821"/>
      <c r="AF44" s="3821"/>
      <c r="AG44" s="3821"/>
      <c r="AH44" s="3821"/>
      <c r="AI44" s="3821"/>
      <c r="AJ44" s="3821"/>
      <c r="AK44" s="3821"/>
      <c r="AL44" s="3822"/>
      <c r="AM44" s="3823" t="s">
        <v>413</v>
      </c>
      <c r="AP44" s="3479" t="str">
        <f>IF(T44="","",T44)</f>
        <v>Территория действия тарифа</v>
      </c>
      <c r="AS44" s="3432">
        <v>21</v>
      </c>
    </row>
    <row customHeight="1" ht="24">
      <c r="A45" s="3857" t="s">
        <v>185</v>
      </c>
      <c r="B45" s="3857" t="s">
        <v>186</v>
      </c>
      <c r="C45" s="3857" t="s">
        <v>187</v>
      </c>
      <c r="E45" s="3824"/>
      <c r="F45" s="3824"/>
      <c r="G45" s="3817">
        <v>1</v>
      </c>
      <c r="Q45" s="3825"/>
      <c r="R45" s="3826"/>
      <c r="S45" s="3818" t="str">
        <f>INDEX(PT_DIFFERENTIATION_NUM_CS,MATCH(C45,PT_DIFFERENTIATION_CS_ID,0))</f>
        <v>..</v>
      </c>
      <c r="T45" s="3828" t="s">
        <v>414</v>
      </c>
      <c r="U45" s="3819"/>
      <c r="V45" s="3820"/>
      <c r="W45" s="3821"/>
      <c r="X45" s="3821"/>
      <c r="Y45" s="3821"/>
      <c r="Z45" s="3821"/>
      <c r="AA45" s="3821"/>
      <c r="AB45" s="3821"/>
      <c r="AC45" s="3822"/>
      <c r="AD45" s="3820" t="str">
        <f>INDEX(PT_DIFFERENTIATION_CS,MATCH(C45,PT_DIFFERENTIATION_CS_ID,0))</f>
        <v/>
      </c>
      <c r="AE45" s="3821"/>
      <c r="AF45" s="3821"/>
      <c r="AG45" s="3821"/>
      <c r="AH45" s="3821"/>
      <c r="AI45" s="3821"/>
      <c r="AJ45" s="3821"/>
      <c r="AK45" s="3821"/>
      <c r="AL45" s="3822"/>
      <c r="AM45" s="3823" t="s">
        <v>415</v>
      </c>
      <c r="AP45" s="3479" t="str">
        <f>IF(T45="","",T45)</f>
        <v>Наименование системы теплоснабжения </v>
      </c>
      <c r="AS45" s="3432">
        <v>23</v>
      </c>
    </row>
    <row customHeight="1" ht="22.049999999999997">
      <c r="A46" s="3857" t="s">
        <v>185</v>
      </c>
      <c r="B46" s="3857" t="s">
        <v>186</v>
      </c>
      <c r="C46" s="3857" t="s">
        <v>187</v>
      </c>
      <c r="D46" s="3857" t="s">
        <v>188</v>
      </c>
      <c r="E46" s="3824"/>
      <c r="F46" s="3824"/>
      <c r="G46" s="3824"/>
      <c r="H46" s="3817">
        <v>1</v>
      </c>
      <c r="Q46" s="3825"/>
      <c r="R46" s="3826"/>
      <c r="S46" s="3818" t="str">
        <f>INDEX(PT_DIFFERENTIATION_NUM_IST_TE,MATCH(D46,PT_DIFFERENTIATION_IST_TE_ID,0))</f>
        <v>...</v>
      </c>
      <c r="T46" s="3829" t="s">
        <v>416</v>
      </c>
      <c r="U46" s="3819"/>
      <c r="V46" s="3820"/>
      <c r="W46" s="3821"/>
      <c r="X46" s="3821"/>
      <c r="Y46" s="3821"/>
      <c r="Z46" s="3821"/>
      <c r="AA46" s="3821"/>
      <c r="AB46" s="3821"/>
      <c r="AC46" s="3822"/>
      <c r="AD46" s="3820" t="str">
        <f>INDEX(PT_DIFFERENTIATION_IST_TE,MATCH(D46,PT_DIFFERENTIATION_IST_TE_ID,0))</f>
        <v/>
      </c>
      <c r="AE46" s="3821"/>
      <c r="AF46" s="3821"/>
      <c r="AG46" s="3821"/>
      <c r="AH46" s="3821"/>
      <c r="AI46" s="3821"/>
      <c r="AJ46" s="3821"/>
      <c r="AK46" s="3821"/>
      <c r="AL46" s="3822"/>
      <c r="AM46" s="3823" t="s">
        <v>417</v>
      </c>
      <c r="AP46" s="3479" t="str">
        <f>IF(T46="","",T46)</f>
        <v>Источник тепловой энергии  </v>
      </c>
      <c r="AS46" s="3432">
        <v>21</v>
      </c>
    </row>
    <row customHeight="1" ht="0">
      <c r="A47" s="3470" t="s">
        <v>185</v>
      </c>
      <c r="B47" s="3470" t="s">
        <v>186</v>
      </c>
      <c r="C47" s="3470" t="s">
        <v>187</v>
      </c>
      <c r="D47" s="3470" t="s">
        <v>188</v>
      </c>
      <c r="E47" s="3824"/>
      <c r="F47" s="3824"/>
      <c r="G47" s="3824"/>
      <c r="H47" s="3824"/>
      <c r="I47" s="3711" t="str">
        <f>S46&amp;".1"</f>
        <v>....1</v>
      </c>
      <c r="L47" s="3866" t="s">
        <v>418</v>
      </c>
      <c r="P47" s="3471">
        <v>1</v>
      </c>
      <c r="R47" s="3831"/>
      <c r="S47" s="3582"/>
      <c r="T47" s="3860"/>
      <c r="U47" s="3861"/>
      <c r="V47" s="3862"/>
      <c r="W47" s="3863"/>
      <c r="X47" s="3863"/>
      <c r="Y47" s="3863"/>
      <c r="Z47" s="3863"/>
      <c r="AA47" s="3863"/>
      <c r="AB47" s="3863"/>
      <c r="AC47" s="3864"/>
      <c r="AD47" s="3862"/>
      <c r="AE47" s="3863"/>
      <c r="AF47" s="3863"/>
      <c r="AG47" s="3863"/>
      <c r="AH47" s="3863"/>
      <c r="AI47" s="3863"/>
      <c r="AJ47" s="3863"/>
      <c r="AK47" s="3863"/>
      <c r="AL47" s="3864"/>
      <c r="AM47" s="3865"/>
      <c r="AP47" s="3479" t="str">
        <f>IF(T47="","",T47)</f>
        <v/>
      </c>
      <c r="AS47" s="3473">
        <v>0</v>
      </c>
    </row>
    <row customHeight="1" ht="22.049999999999997">
      <c r="A48" s="3857" t="s">
        <v>185</v>
      </c>
      <c r="B48" s="3857" t="s">
        <v>186</v>
      </c>
      <c r="C48" s="3857" t="s">
        <v>187</v>
      </c>
      <c r="D48" s="3857" t="s">
        <v>188</v>
      </c>
      <c r="E48" s="3824"/>
      <c r="F48" s="3824"/>
      <c r="G48" s="3824"/>
      <c r="H48" s="3824"/>
      <c r="I48" s="3835"/>
      <c r="J48" s="3711" t="str">
        <f>S46&amp;".1"</f>
        <v>....1</v>
      </c>
      <c r="L48" s="3830" t="s">
        <v>421</v>
      </c>
      <c r="Q48" s="3471">
        <v>1</v>
      </c>
      <c r="R48" s="3836"/>
      <c r="S48" s="3818" t="str">
        <f>$J48</f>
        <v>....1</v>
      </c>
      <c r="T48" s="3837" t="s">
        <v>422</v>
      </c>
      <c r="U48" s="3819"/>
      <c r="V48" s="3638"/>
      <c r="W48" s="3833"/>
      <c r="X48" s="3833"/>
      <c r="Y48" s="3833"/>
      <c r="Z48" s="3833"/>
      <c r="AA48" s="3833"/>
      <c r="AB48" s="3833"/>
      <c r="AC48" s="3834"/>
      <c r="AD48" s="3638"/>
      <c r="AE48" s="3833"/>
      <c r="AF48" s="3833"/>
      <c r="AG48" s="3833"/>
      <c r="AH48" s="3833"/>
      <c r="AI48" s="3833"/>
      <c r="AJ48" s="3833"/>
      <c r="AK48" s="3833"/>
      <c r="AL48" s="3834"/>
      <c r="AM48" s="3823" t="s">
        <v>423</v>
      </c>
      <c r="AP48" s="3479" t="str">
        <f>IF(T48="","",T48)</f>
        <v>Группа потребителей</v>
      </c>
      <c r="AS48" s="3432">
        <v>21</v>
      </c>
    </row>
    <row customHeight="1" ht="22.049999999999997">
      <c r="A49" s="3857" t="s">
        <v>185</v>
      </c>
      <c r="B49" s="3857" t="s">
        <v>186</v>
      </c>
      <c r="C49" s="3857" t="s">
        <v>187</v>
      </c>
      <c r="D49" s="3857" t="s">
        <v>188</v>
      </c>
      <c r="E49" s="3824"/>
      <c r="F49" s="3824"/>
      <c r="G49" s="3824"/>
      <c r="H49" s="3824"/>
      <c r="I49" s="3835"/>
      <c r="J49" s="3835"/>
      <c r="K49" s="3711" t="str">
        <f>J48&amp;".1"</f>
        <v>....1.1</v>
      </c>
      <c r="L49" s="3830" t="s">
        <v>424</v>
      </c>
      <c r="R49" s="3836">
        <v>1</v>
      </c>
      <c r="S49" s="3818" t="str">
        <f>$K49</f>
        <v>....1.1</v>
      </c>
      <c r="T49" s="3838"/>
      <c r="U49" s="3819"/>
      <c r="V49" s="838"/>
      <c r="W49" s="839"/>
      <c r="X49" s="838"/>
      <c r="Y49" s="840"/>
      <c r="Z49" s="572"/>
      <c r="AA49" s="210" t="s">
        <v>61</v>
      </c>
      <c r="AB49" s="572"/>
      <c r="AC49" s="210" t="s">
        <v>61</v>
      </c>
      <c r="AD49" s="838"/>
      <c r="AE49" s="839"/>
      <c r="AF49" s="838"/>
      <c r="AG49" s="840"/>
      <c r="AH49" s="572"/>
      <c r="AI49" s="210" t="s">
        <v>61</v>
      </c>
      <c r="AJ49" s="881"/>
      <c r="AK49" s="210" t="s">
        <v>61</v>
      </c>
      <c r="AL49" s="882"/>
      <c r="AM49" s="3839" t="s">
        <v>466</v>
      </c>
      <c r="AN49" s="3473">
        <f>STRCHECKDATE(V50:AL50)</f>
      </c>
      <c r="AP49" s="3479" t="str">
        <f>IF(T49="","",T49)</f>
        <v/>
      </c>
      <c r="AS49" s="3432">
        <v>21</v>
      </c>
    </row>
    <row customHeight="1" ht="1.05">
      <c r="A50" s="3857" t="s">
        <v>185</v>
      </c>
      <c r="B50" s="3857" t="s">
        <v>186</v>
      </c>
      <c r="C50" s="3857" t="s">
        <v>187</v>
      </c>
      <c r="D50" s="3857" t="s">
        <v>188</v>
      </c>
      <c r="E50" s="3824"/>
      <c r="F50" s="3824"/>
      <c r="G50" s="3824"/>
      <c r="H50" s="3824"/>
      <c r="I50" s="3835"/>
      <c r="J50" s="3835"/>
      <c r="K50" s="3711"/>
      <c r="R50" s="3836"/>
      <c r="S50" s="421"/>
      <c r="T50" s="3819"/>
      <c r="U50" s="3819"/>
      <c r="V50" s="839"/>
      <c r="W50" s="839"/>
      <c r="X50" s="839"/>
      <c r="Y50" s="842" t="str">
        <f>Z49&amp;"-"&amp;AB49</f>
        <v>-</v>
      </c>
      <c r="Z50" s="573"/>
      <c r="AA50" s="210"/>
      <c r="AB50" s="573"/>
      <c r="AC50" s="210"/>
      <c r="AD50" s="839"/>
      <c r="AE50" s="839"/>
      <c r="AF50" s="839"/>
      <c r="AG50" s="842" t="str">
        <f>AH49&amp;"-"&amp;AJ49</f>
        <v>-</v>
      </c>
      <c r="AH50" s="573"/>
      <c r="AI50" s="210"/>
      <c r="AJ50" s="883"/>
      <c r="AK50" s="210"/>
      <c r="AL50" s="884"/>
      <c r="AM50" s="3840"/>
      <c r="AP50" s="3479" t="str">
        <f>IF(T50="","",T50)</f>
        <v/>
      </c>
      <c r="AS50" s="3432">
        <v>1</v>
      </c>
    </row>
    <row customHeight="1" ht="11.549999999999999">
      <c r="A51" s="3857" t="s">
        <v>185</v>
      </c>
      <c r="B51" s="3857" t="s">
        <v>186</v>
      </c>
      <c r="C51" s="3857" t="s">
        <v>187</v>
      </c>
      <c r="D51" s="3857" t="s">
        <v>188</v>
      </c>
      <c r="E51" s="3824"/>
      <c r="F51" s="3824"/>
      <c r="G51" s="3824"/>
      <c r="H51" s="3824"/>
      <c r="I51" s="3835"/>
      <c r="J51" s="3711"/>
      <c r="R51" s="3831"/>
      <c r="S51" s="844"/>
      <c r="T51" s="848" t="s">
        <v>426</v>
      </c>
      <c r="U51" s="200"/>
      <c r="V51" s="200"/>
      <c r="W51" s="200"/>
      <c r="X51" s="200"/>
      <c r="Y51" s="200"/>
      <c r="Z51" s="200"/>
      <c r="AA51" s="200"/>
      <c r="AB51" s="200"/>
      <c r="AC51" s="200"/>
      <c r="AD51" s="200"/>
      <c r="AE51" s="200"/>
      <c r="AF51" s="200"/>
      <c r="AG51" s="200"/>
      <c r="AH51" s="200"/>
      <c r="AI51" s="200"/>
      <c r="AJ51" s="200"/>
      <c r="AK51" s="200"/>
      <c r="AL51" s="846"/>
      <c r="AM51" s="3841"/>
      <c r="AP51" s="3479" t="str">
        <f>IF(T51="","",T51)</f>
        <v>Добавить вид теплоносителя (параметры теплоносителя)</v>
      </c>
      <c r="AS51" s="3432">
        <v>11</v>
      </c>
    </row>
    <row customHeight="1" ht="11.549999999999999">
      <c r="A52" s="3857" t="s">
        <v>185</v>
      </c>
      <c r="B52" s="3857" t="s">
        <v>186</v>
      </c>
      <c r="C52" s="3857" t="s">
        <v>187</v>
      </c>
      <c r="D52" s="3857" t="s">
        <v>188</v>
      </c>
      <c r="E52" s="3824"/>
      <c r="F52" s="3824"/>
      <c r="G52" s="3824"/>
      <c r="H52" s="3824"/>
      <c r="I52" s="3711"/>
      <c r="R52" s="3831"/>
      <c r="S52" s="844"/>
      <c r="T52" s="851" t="s">
        <v>427</v>
      </c>
      <c r="U52" s="200"/>
      <c r="V52" s="200"/>
      <c r="W52" s="200"/>
      <c r="X52" s="200"/>
      <c r="Y52" s="200"/>
      <c r="Z52" s="200"/>
      <c r="AA52" s="200"/>
      <c r="AB52" s="200"/>
      <c r="AC52" s="849"/>
      <c r="AD52" s="200"/>
      <c r="AE52" s="200"/>
      <c r="AF52" s="200"/>
      <c r="AG52" s="200"/>
      <c r="AH52" s="200"/>
      <c r="AI52" s="200"/>
      <c r="AJ52" s="200"/>
      <c r="AK52" s="849"/>
      <c r="AL52" s="200"/>
      <c r="AM52" s="850"/>
      <c r="AP52" s="3479" t="str">
        <f>IF(T52="","",T52)</f>
        <v>Добавить группу потребителей</v>
      </c>
      <c r="AS52" s="3432">
        <v>11</v>
      </c>
    </row>
    <row customHeight="1" ht="0">
      <c r="A53" s="3857" t="s">
        <v>185</v>
      </c>
      <c r="B53" s="3857" t="s">
        <v>186</v>
      </c>
      <c r="C53" s="3857" t="s">
        <v>187</v>
      </c>
      <c r="D53" s="3857" t="s">
        <v>188</v>
      </c>
      <c r="E53" s="3824"/>
      <c r="F53" s="3824"/>
      <c r="G53" s="3824"/>
      <c r="H53" s="3817"/>
      <c r="R53" s="816"/>
      <c r="S53" s="894"/>
      <c r="T53" s="895"/>
      <c r="U53" s="896"/>
      <c r="V53" s="896"/>
      <c r="W53" s="896"/>
      <c r="X53" s="896"/>
      <c r="Y53" s="896"/>
      <c r="Z53" s="896"/>
      <c r="AA53" s="896"/>
      <c r="AB53" s="896"/>
      <c r="AC53" s="896"/>
      <c r="AD53" s="896"/>
      <c r="AE53" s="896"/>
      <c r="AF53" s="896"/>
      <c r="AG53" s="896"/>
      <c r="AH53" s="896"/>
      <c r="AI53" s="896"/>
      <c r="AJ53" s="896"/>
      <c r="AK53" s="896"/>
      <c r="AL53" s="896"/>
      <c r="AM53" s="897"/>
      <c r="AP53" s="3479" t="str">
        <f>IF(T53="","",T53)</f>
        <v/>
      </c>
      <c r="AS53" s="3432">
        <v>0</v>
      </c>
    </row>
    <row customHeight="1" ht="1.05">
      <c r="A54" s="3470" t="s">
        <v>185</v>
      </c>
      <c r="B54" s="3470" t="s">
        <v>186</v>
      </c>
      <c r="C54" s="3470" t="s">
        <v>187</v>
      </c>
      <c r="E54" s="3824"/>
      <c r="F54" s="3824"/>
      <c r="G54" s="3817"/>
      <c r="T54" s="856" t="s">
        <v>429</v>
      </c>
      <c r="AP54" s="3479" t="str">
        <f>IF(T54="","",T54)</f>
        <v>Добавить источник для дифференциации</v>
      </c>
      <c r="AS54" s="3473">
        <v>1</v>
      </c>
    </row>
    <row customHeight="1" ht="1.05">
      <c r="A55" s="3470" t="s">
        <v>185</v>
      </c>
      <c r="B55" s="3470" t="s">
        <v>186</v>
      </c>
      <c r="E55" s="3824"/>
      <c r="F55" s="3817"/>
      <c r="T55" s="856" t="s">
        <v>430</v>
      </c>
      <c r="AP55" s="3479" t="str">
        <f>IF(T55="","",T55)</f>
        <v>Добавить централизованную систему для дифференциации</v>
      </c>
      <c r="AS55" s="3473">
        <v>1</v>
      </c>
    </row>
    <row customHeight="1" ht="1.05">
      <c r="A56" s="3470" t="s">
        <v>185</v>
      </c>
      <c r="E56" s="3817"/>
      <c r="T56" s="856" t="s">
        <v>431</v>
      </c>
      <c r="AP56" s="3479" t="str">
        <f>IF(T56="","",T56)</f>
        <v>Добавить территорию для дифференциации</v>
      </c>
      <c r="AS56" s="3473">
        <v>1</v>
      </c>
    </row>
    <row customHeight="1" ht="1.05">
      <c r="T57" s="856" t="s">
        <v>463</v>
      </c>
      <c r="AP57" s="3479" t="str">
        <f>IF(T57="","",T57)</f>
        <v>Добавить наименование тарифа</v>
      </c>
      <c r="AS57" s="3473">
        <v>1</v>
      </c>
    </row>
    <row customHeight="1" ht="11.549999999999999">
      <c r="AS58" s="3432">
        <v>11</v>
      </c>
    </row>
    <row customHeight="1" ht="19.95">
      <c r="AS59" s="3432">
        <v>19</v>
      </c>
    </row>
    <row customHeight="1" ht="29.25">
      <c r="AS60" s="3432">
        <v>28</v>
      </c>
    </row>
    <row customHeight="1" ht="42">
      <c r="AS61" s="3432">
        <v>40</v>
      </c>
    </row>
    <row customHeight="1" ht="14.699999999999998">
      <c r="AS62" s="3432">
        <v>14</v>
      </c>
    </row>
    <row customHeight="1" ht="21">
      <c r="AS63" s="3432">
        <v>20</v>
      </c>
    </row>
    <row customHeight="1" ht="29.25">
      <c r="AS64" s="3432">
        <v>28</v>
      </c>
    </row>
    <row customHeight="1" ht="35.699999999999996">
      <c r="AS65" s="3432">
        <v>34</v>
      </c>
    </row>
    <row customHeight="1" ht="22.5" hidden="1">
      <c r="A66" s="3449" t="s">
        <v>80</v>
      </c>
      <c r="B66" s="3449">
        <v>0</v>
      </c>
      <c r="C66" s="3449">
        <v>0</v>
      </c>
      <c r="D66" s="3449">
        <v>0</v>
      </c>
      <c r="E66" s="3449">
        <v>0</v>
      </c>
      <c r="F66" s="3449">
        <v>0</v>
      </c>
      <c r="G66" s="3449">
        <v>0</v>
      </c>
      <c r="H66" s="3449">
        <v>0</v>
      </c>
      <c r="I66" s="3449">
        <v>0</v>
      </c>
      <c r="J66" s="3449">
        <v>0</v>
      </c>
      <c r="K66" s="3449">
        <v>0</v>
      </c>
      <c r="L66" s="3618">
        <v>0</v>
      </c>
      <c r="M66" s="105">
        <v>0</v>
      </c>
      <c r="N66" s="105">
        <v>0</v>
      </c>
      <c r="O66" s="105">
        <v>0</v>
      </c>
      <c r="P66" s="782">
        <v>0</v>
      </c>
      <c r="Q66" s="3797">
        <v>3</v>
      </c>
      <c r="R66" s="3797">
        <v>3</v>
      </c>
      <c r="S66" s="3447">
        <v>12</v>
      </c>
      <c r="T66" s="3432">
        <v>31</v>
      </c>
      <c r="U66" s="3432">
        <v>0</v>
      </c>
      <c r="V66" s="3432">
        <v>0</v>
      </c>
      <c r="W66" s="3432">
        <v>0</v>
      </c>
      <c r="X66" s="3432">
        <v>0</v>
      </c>
      <c r="Y66" s="3432">
        <v>0</v>
      </c>
      <c r="Z66" s="3432">
        <v>0</v>
      </c>
      <c r="AA66" s="3432">
        <v>0</v>
      </c>
      <c r="AB66" s="3432">
        <v>0</v>
      </c>
      <c r="AC66" s="3432">
        <v>0</v>
      </c>
      <c r="AD66" s="3432">
        <v>24</v>
      </c>
      <c r="AE66" s="3432">
        <v>0</v>
      </c>
      <c r="AF66" s="3432">
        <v>24</v>
      </c>
      <c r="AG66" s="3432">
        <v>24</v>
      </c>
      <c r="AH66" s="3432">
        <v>11</v>
      </c>
      <c r="AI66" s="3432">
        <v>3</v>
      </c>
      <c r="AJ66" s="3432">
        <v>11</v>
      </c>
      <c r="AK66" s="3432">
        <v>0</v>
      </c>
      <c r="AL66" s="3432">
        <v>4</v>
      </c>
      <c r="AM66" s="3432">
        <v>115</v>
      </c>
      <c r="AN66" s="3473">
        <v>10</v>
      </c>
      <c r="AO66" s="3473">
        <v>10</v>
      </c>
      <c r="AP66" s="3473">
        <v>10</v>
      </c>
      <c r="AQ66" s="3473">
        <v>10</v>
      </c>
      <c r="AR66" s="3473">
        <v>10</v>
      </c>
      <c r="AS66" s="343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08B0E-C363-CF7A-E2CF-19CC36D5F8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6" style="7348" width="3.7109375" hidden="1" customWidth="1"/>
    <col min="17" max="18" style="7348" width="3.00390625" customWidth="1"/>
    <col min="19" max="19" style="7348" width="12.00390625" customWidth="1"/>
    <col min="20" max="20" style="7348" width="31.00390625" customWidth="1"/>
    <col min="21" max="21" style="7348" width="0.140625" customWidth="1"/>
    <col min="22" max="22" style="7348" width="24.7109375" hidden="1" customWidth="1"/>
    <col min="23" max="23" style="7348" width="0.140625" hidden="1" customWidth="1"/>
    <col min="24" max="25" style="7348" width="24.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24.7109375" customWidth="1"/>
    <col min="31" max="31" style="7348" width="0.140625" customWidth="1"/>
    <col min="32" max="33" style="7348" width="24.00390625" customWidth="1"/>
    <col min="34" max="34" style="7348" width="11.00390625" customWidth="1"/>
    <col min="35" max="35" style="7348" width="3.7109375" customWidth="1"/>
    <col min="36" max="36" style="7348" width="11.00390625" customWidth="1"/>
    <col min="37" max="37" style="7348" width="8.57421875" hidden="1" customWidth="1"/>
    <col min="38" max="38" style="7348" width="4.00390625" customWidth="1"/>
    <col min="39" max="39" style="7348" width="115.00390625" customWidth="1"/>
    <col min="40" max="44" style="7348" width="10.00390625" customWidth="1"/>
    <col min="45" max="45" style="7348" width="10.57421875" hidden="1"/>
  </cols>
  <sheetData>
    <row customHeight="1" ht="22.5" hidden="1">
      <c r="AS1" s="3432" t="s">
        <v>14</v>
      </c>
    </row>
    <row customHeight="1" ht="21" hidden="1">
      <c r="E2" s="3817">
        <v>1</v>
      </c>
      <c r="R2" s="816"/>
      <c r="S2" s="3818">
        <f>INDEX(PT_DIFFERENTIATION_NUM_NTAR,MATCH(A2,PT_DIFFERENTIATION_NTAR_ID,0))</f>
      </c>
      <c r="T2" s="3764" t="s">
        <v>141</v>
      </c>
      <c r="U2" s="3819"/>
      <c r="V2" s="3820"/>
      <c r="W2" s="3821"/>
      <c r="X2" s="3821"/>
      <c r="Y2" s="3821"/>
      <c r="Z2" s="3821"/>
      <c r="AA2" s="3821"/>
      <c r="AB2" s="3821"/>
      <c r="AC2" s="3822"/>
      <c r="AD2" s="3820">
        <f>INDEX(PT_DIFFERENTIATION_NTAR,MATCH(A2,PT_DIFFERENTIATION_NTAR_ID,0))</f>
      </c>
      <c r="AE2" s="3821"/>
      <c r="AF2" s="3821"/>
      <c r="AG2" s="3821"/>
      <c r="AH2" s="3821"/>
      <c r="AI2" s="3821"/>
      <c r="AJ2" s="3821"/>
      <c r="AK2" s="3821"/>
      <c r="AL2" s="3822"/>
      <c r="AM2" s="3823" t="s">
        <v>411</v>
      </c>
      <c r="AP2" s="3479" t="str">
        <f>IF(T2="","",T2)</f>
        <v>Наименование тарифа</v>
      </c>
      <c r="AS2" s="3432">
        <v>0</v>
      </c>
    </row>
    <row customHeight="1" ht="21" hidden="1">
      <c r="E3" s="3824"/>
      <c r="F3" s="3817">
        <v>1</v>
      </c>
      <c r="Q3" s="3825"/>
      <c r="R3" s="3826"/>
      <c r="S3" s="3818">
        <f>INDEX(PT_DIFFERENTIATION_NUM_TER,MATCH(B3,PT_DIFFERENTIATION_TER_ID,0))</f>
      </c>
      <c r="T3" s="3827" t="s">
        <v>412</v>
      </c>
      <c r="U3" s="3819"/>
      <c r="V3" s="3820"/>
      <c r="W3" s="3821"/>
      <c r="X3" s="3821"/>
      <c r="Y3" s="3821"/>
      <c r="Z3" s="3821"/>
      <c r="AA3" s="3821"/>
      <c r="AB3" s="3821"/>
      <c r="AC3" s="3822"/>
      <c r="AD3" s="3820">
        <f>INDEX(PT_DIFFERENTIATION_TER,MATCH(B3,PT_DIFFERENTIATION_TER_ID,0))</f>
      </c>
      <c r="AE3" s="3821"/>
      <c r="AF3" s="3821"/>
      <c r="AG3" s="3821"/>
      <c r="AH3" s="3821"/>
      <c r="AI3" s="3821"/>
      <c r="AJ3" s="3821"/>
      <c r="AK3" s="3821"/>
      <c r="AL3" s="3822"/>
      <c r="AM3" s="3823" t="s">
        <v>413</v>
      </c>
      <c r="AP3" s="3479" t="str">
        <f>IF(T3="","",T3)</f>
        <v>Территория действия тарифа</v>
      </c>
      <c r="AS3" s="3432">
        <v>0</v>
      </c>
    </row>
    <row customHeight="1" ht="23.25" hidden="1">
      <c r="E4" s="3824"/>
      <c r="F4" s="3824"/>
      <c r="G4" s="3817">
        <v>1</v>
      </c>
      <c r="Q4" s="3825"/>
      <c r="R4" s="3826"/>
      <c r="S4" s="3867">
        <f>INDEX(PT_DIFFERENTIATION_NUM_CS,MATCH(C4,PT_DIFFERENTIATION_CS_ID,0))</f>
      </c>
      <c r="T4" s="3868" t="s">
        <v>414</v>
      </c>
      <c r="U4" s="3869"/>
      <c r="V4" s="3870"/>
      <c r="W4" s="3871"/>
      <c r="X4" s="3871"/>
      <c r="Y4" s="3871"/>
      <c r="Z4" s="3871"/>
      <c r="AA4" s="3871"/>
      <c r="AB4" s="3871"/>
      <c r="AC4" s="3872"/>
      <c r="AD4" s="3870">
        <f>INDEX(PT_DIFFERENTIATION_CS,MATCH(C4,PT_DIFFERENTIATION_CS_ID,0))</f>
      </c>
      <c r="AE4" s="3871"/>
      <c r="AF4" s="3871"/>
      <c r="AG4" s="3871"/>
      <c r="AH4" s="3871"/>
      <c r="AI4" s="3871"/>
      <c r="AJ4" s="3871"/>
      <c r="AK4" s="3871"/>
      <c r="AL4" s="3872"/>
      <c r="AM4" s="3823" t="s">
        <v>415</v>
      </c>
      <c r="AP4" s="3479" t="str">
        <f>IF(T4="","",T4)</f>
        <v>Наименование системы теплоснабжения </v>
      </c>
      <c r="AS4" s="3432">
        <v>0</v>
      </c>
    </row>
    <row customHeight="1" ht="21" hidden="1">
      <c r="E5" s="3824"/>
      <c r="F5" s="3824"/>
      <c r="G5" s="3824"/>
      <c r="H5" s="3817">
        <v>1</v>
      </c>
      <c r="Q5" s="3825"/>
      <c r="S5" s="3818">
        <f>INDEX(PT_DIFFERENTIATION_NUM_IST_TE,MATCH(D5,PT_DIFFERENTIATION_IST_TE_ID,0))</f>
      </c>
      <c r="T5" s="3829" t="s">
        <v>416</v>
      </c>
      <c r="U5" s="3819"/>
      <c r="V5" s="3873"/>
      <c r="W5" s="3873"/>
      <c r="X5" s="3873"/>
      <c r="Y5" s="3873"/>
      <c r="Z5" s="3873"/>
      <c r="AA5" s="3873"/>
      <c r="AB5" s="3873"/>
      <c r="AC5" s="3873"/>
      <c r="AD5" s="3873">
        <f>INDEX(PT_DIFFERENTIATION_IST_TE,MATCH(D5,PT_DIFFERENTIATION_IST_TE_ID,0))</f>
      </c>
      <c r="AE5" s="3873"/>
      <c r="AF5" s="3873"/>
      <c r="AG5" s="3873"/>
      <c r="AH5" s="3873"/>
      <c r="AI5" s="3873"/>
      <c r="AJ5" s="3873"/>
      <c r="AK5" s="3873"/>
      <c r="AL5" s="3873"/>
      <c r="AM5" s="3874" t="s">
        <v>417</v>
      </c>
      <c r="AP5" s="3479" t="str">
        <f>IF(T5="","",T5)</f>
        <v>Источник тепловой энергии  </v>
      </c>
      <c r="AS5" s="3432">
        <v>0</v>
      </c>
    </row>
    <row customHeight="1" ht="0.75" hidden="1">
      <c r="E6" s="3824"/>
      <c r="F6" s="3824"/>
      <c r="G6" s="3824"/>
      <c r="H6" s="3824"/>
      <c r="I6" s="3711">
        <f>S5&amp;".1"</f>
      </c>
      <c r="L6" s="3830" t="s">
        <v>418</v>
      </c>
      <c r="P6" s="3471">
        <v>1</v>
      </c>
      <c r="S6" s="3582"/>
      <c r="T6" s="3860"/>
      <c r="U6" s="3861"/>
      <c r="V6" s="3582"/>
      <c r="W6" s="3582"/>
      <c r="X6" s="3582"/>
      <c r="Y6" s="3582"/>
      <c r="Z6" s="3582"/>
      <c r="AA6" s="3582"/>
      <c r="AB6" s="3582"/>
      <c r="AC6" s="3582"/>
      <c r="AD6" s="3582"/>
      <c r="AE6" s="3582"/>
      <c r="AF6" s="3582"/>
      <c r="AG6" s="3582"/>
      <c r="AH6" s="3582"/>
      <c r="AI6" s="3582"/>
      <c r="AJ6" s="3582"/>
      <c r="AK6" s="3582"/>
      <c r="AL6" s="3582"/>
      <c r="AM6" s="3875"/>
      <c r="AP6" s="3479" t="str">
        <f>IF(T6="","",T6)</f>
        <v/>
      </c>
      <c r="AS6" s="3432">
        <v>0</v>
      </c>
    </row>
    <row customHeight="1" ht="84" hidden="1">
      <c r="E7" s="3824"/>
      <c r="F7" s="3824"/>
      <c r="G7" s="3824"/>
      <c r="H7" s="3824"/>
      <c r="I7" s="3835"/>
      <c r="J7" s="3711">
        <f>I6&amp;".1"</f>
      </c>
      <c r="L7" s="3830" t="s">
        <v>421</v>
      </c>
      <c r="Q7" s="3471">
        <v>1</v>
      </c>
      <c r="S7" s="3818">
        <f>$J7</f>
      </c>
      <c r="T7" s="3837" t="s">
        <v>422</v>
      </c>
      <c r="U7" s="3819"/>
      <c r="V7" s="3800"/>
      <c r="W7" s="3800"/>
      <c r="X7" s="3800"/>
      <c r="Y7" s="3800"/>
      <c r="Z7" s="3800"/>
      <c r="AA7" s="3800"/>
      <c r="AB7" s="3800"/>
      <c r="AC7" s="3800"/>
      <c r="AD7" s="3800"/>
      <c r="AE7" s="3800"/>
      <c r="AF7" s="3800"/>
      <c r="AG7" s="3800"/>
      <c r="AH7" s="3800"/>
      <c r="AI7" s="3800"/>
      <c r="AJ7" s="3800"/>
      <c r="AK7" s="3800"/>
      <c r="AL7" s="3800"/>
      <c r="AM7" s="3874" t="s">
        <v>423</v>
      </c>
      <c r="AP7" s="3479" t="str">
        <f>IF(T7="","",T7)</f>
        <v>Группа потребителей</v>
      </c>
      <c r="AS7" s="3432">
        <v>0</v>
      </c>
    </row>
    <row customHeight="1" ht="11.25" hidden="1">
      <c r="E8" s="3824"/>
      <c r="F8" s="3824"/>
      <c r="G8" s="3824"/>
      <c r="H8" s="3824"/>
      <c r="I8" s="3835"/>
      <c r="J8" s="3835"/>
      <c r="K8" s="3711">
        <f>J7&amp;".1"</f>
      </c>
      <c r="L8" s="3830" t="s">
        <v>424</v>
      </c>
      <c r="R8" s="3836">
        <v>1</v>
      </c>
      <c r="S8" s="3876">
        <f>$K8</f>
      </c>
      <c r="T8" s="3877"/>
      <c r="U8" s="3878"/>
      <c r="V8" s="911"/>
      <c r="W8" s="884"/>
      <c r="X8" s="911"/>
      <c r="Y8" s="912"/>
      <c r="Z8" s="913"/>
      <c r="AA8" s="206" t="s">
        <v>61</v>
      </c>
      <c r="AB8" s="913"/>
      <c r="AC8" s="206" t="s">
        <v>61</v>
      </c>
      <c r="AD8" s="911"/>
      <c r="AE8" s="884"/>
      <c r="AF8" s="911"/>
      <c r="AG8" s="912"/>
      <c r="AH8" s="913"/>
      <c r="AI8" s="206" t="s">
        <v>61</v>
      </c>
      <c r="AJ8" s="913"/>
      <c r="AK8" s="206" t="s">
        <v>61</v>
      </c>
      <c r="AL8" s="884"/>
      <c r="AM8" s="3839" t="s">
        <v>425</v>
      </c>
      <c r="AN8" s="3473">
        <f>STRCHECKDATE(V9:AL9)</f>
      </c>
      <c r="AP8" s="3479" t="str">
        <f>IF(T8="","",T8)</f>
        <v/>
      </c>
      <c r="AS8" s="3432">
        <v>0</v>
      </c>
    </row>
    <row customHeight="1" ht="0.75" hidden="1">
      <c r="E9" s="3824"/>
      <c r="F9" s="3824"/>
      <c r="G9" s="3824"/>
      <c r="H9" s="3824"/>
      <c r="I9" s="3835"/>
      <c r="J9" s="3835"/>
      <c r="K9" s="3711"/>
      <c r="R9" s="3836"/>
      <c r="S9" s="421"/>
      <c r="T9" s="3819"/>
      <c r="U9" s="3819"/>
      <c r="V9" s="839"/>
      <c r="W9" s="839"/>
      <c r="X9" s="839"/>
      <c r="Y9" s="842" t="str">
        <f>Z8&amp;"-"&amp;AB8</f>
        <v>-</v>
      </c>
      <c r="Z9" s="573"/>
      <c r="AA9" s="210"/>
      <c r="AB9" s="573"/>
      <c r="AC9" s="210"/>
      <c r="AD9" s="839"/>
      <c r="AE9" s="839"/>
      <c r="AF9" s="839"/>
      <c r="AG9" s="842" t="str">
        <f>AH8&amp;"-"&amp;AJ8</f>
        <v>-</v>
      </c>
      <c r="AH9" s="573"/>
      <c r="AI9" s="210"/>
      <c r="AJ9" s="573"/>
      <c r="AK9" s="210"/>
      <c r="AL9" s="839"/>
      <c r="AM9" s="3840"/>
      <c r="AP9" s="3479" t="str">
        <f>IF(T9="","",T9)</f>
        <v/>
      </c>
      <c r="AS9" s="3432">
        <v>0</v>
      </c>
    </row>
    <row customHeight="1" ht="11.25" hidden="1">
      <c r="E10" s="3824"/>
      <c r="F10" s="3824"/>
      <c r="G10" s="3824"/>
      <c r="H10" s="3824"/>
      <c r="I10" s="3835"/>
      <c r="J10" s="3711"/>
      <c r="R10" s="3831"/>
      <c r="S10" s="844"/>
      <c r="T10" s="848" t="s">
        <v>426</v>
      </c>
      <c r="U10" s="200"/>
      <c r="V10" s="200"/>
      <c r="W10" s="200"/>
      <c r="X10" s="200"/>
      <c r="Y10" s="200"/>
      <c r="Z10" s="200"/>
      <c r="AA10" s="200"/>
      <c r="AB10" s="200"/>
      <c r="AC10" s="200"/>
      <c r="AD10" s="200"/>
      <c r="AE10" s="200"/>
      <c r="AF10" s="200"/>
      <c r="AG10" s="200"/>
      <c r="AH10" s="200"/>
      <c r="AI10" s="200"/>
      <c r="AJ10" s="200"/>
      <c r="AK10" s="200"/>
      <c r="AL10" s="846"/>
      <c r="AM10" s="3841"/>
      <c r="AP10" s="3479" t="str">
        <f>IF(T10="","",T10)</f>
        <v>Добавить вид теплоносителя (параметры теплоносителя)</v>
      </c>
      <c r="AS10" s="3432">
        <v>0</v>
      </c>
    </row>
    <row customHeight="1" ht="11.25" hidden="1">
      <c r="E11" s="3824"/>
      <c r="F11" s="3824"/>
      <c r="G11" s="3824"/>
      <c r="H11" s="3824"/>
      <c r="I11" s="3711"/>
      <c r="R11" s="3831"/>
      <c r="S11" s="844"/>
      <c r="T11" s="851" t="s">
        <v>427</v>
      </c>
      <c r="U11" s="200"/>
      <c r="V11" s="200"/>
      <c r="W11" s="200"/>
      <c r="X11" s="200"/>
      <c r="Y11" s="200"/>
      <c r="Z11" s="200"/>
      <c r="AA11" s="200"/>
      <c r="AB11" s="200"/>
      <c r="AC11" s="849"/>
      <c r="AD11" s="200"/>
      <c r="AE11" s="200"/>
      <c r="AF11" s="200"/>
      <c r="AG11" s="200"/>
      <c r="AH11" s="200"/>
      <c r="AI11" s="200"/>
      <c r="AJ11" s="200"/>
      <c r="AK11" s="849"/>
      <c r="AL11" s="200"/>
      <c r="AM11" s="850"/>
      <c r="AP11" s="3479" t="str">
        <f>IF(T11="","",T11)</f>
        <v>Добавить группу потребителей</v>
      </c>
      <c r="AS11" s="3432">
        <v>0</v>
      </c>
    </row>
    <row customHeight="1" ht="0.75" hidden="1">
      <c r="E12" s="3824"/>
      <c r="F12" s="3824"/>
      <c r="G12" s="3824"/>
      <c r="H12" s="3817"/>
      <c r="R12" s="816"/>
      <c r="S12" s="894"/>
      <c r="T12" s="895"/>
      <c r="U12" s="896"/>
      <c r="V12" s="896"/>
      <c r="W12" s="896"/>
      <c r="X12" s="896"/>
      <c r="Y12" s="896"/>
      <c r="Z12" s="896"/>
      <c r="AA12" s="896"/>
      <c r="AB12" s="896"/>
      <c r="AC12" s="896"/>
      <c r="AD12" s="896"/>
      <c r="AE12" s="896"/>
      <c r="AF12" s="896"/>
      <c r="AG12" s="896"/>
      <c r="AH12" s="896"/>
      <c r="AI12" s="896"/>
      <c r="AJ12" s="896"/>
      <c r="AK12" s="896"/>
      <c r="AL12" s="896"/>
      <c r="AM12" s="897"/>
      <c r="AP12" s="3479" t="str">
        <f>IF(T12="","",T12)</f>
        <v/>
      </c>
      <c r="AS12" s="3432">
        <v>0</v>
      </c>
    </row>
    <row customHeight="1" ht="0.75" hidden="1">
      <c r="E13" s="3824"/>
      <c r="F13" s="3824"/>
      <c r="G13" s="3817"/>
      <c r="S13" s="852"/>
      <c r="T13" s="853" t="s">
        <v>429</v>
      </c>
      <c r="U13" s="854"/>
      <c r="V13" s="854"/>
      <c r="W13" s="854"/>
      <c r="X13" s="854"/>
      <c r="Y13" s="854"/>
      <c r="Z13" s="854"/>
      <c r="AA13" s="854"/>
      <c r="AB13" s="854"/>
      <c r="AC13" s="854"/>
      <c r="AD13" s="854"/>
      <c r="AE13" s="854"/>
      <c r="AF13" s="854"/>
      <c r="AG13" s="854"/>
      <c r="AH13" s="854"/>
      <c r="AI13" s="854"/>
      <c r="AJ13" s="854"/>
      <c r="AK13" s="854"/>
      <c r="AL13" s="854"/>
      <c r="AM13" s="854"/>
      <c r="AP13" s="3479" t="str">
        <f>IF(T13="","",T13)</f>
        <v>Добавить источник для дифференциации</v>
      </c>
      <c r="AS13" s="3473">
        <v>0</v>
      </c>
    </row>
    <row customHeight="1" ht="0.75" hidden="1">
      <c r="E14" s="3824"/>
      <c r="F14" s="3817"/>
      <c r="T14" s="855" t="s">
        <v>430</v>
      </c>
      <c r="AP14" s="3479" t="str">
        <f>IF(T14="","",T14)</f>
        <v>Добавить централизованную систему для дифференциации</v>
      </c>
      <c r="AS14" s="3473">
        <v>0</v>
      </c>
    </row>
    <row customHeight="1" ht="0.75" hidden="1">
      <c r="E15" s="3817"/>
      <c r="T15" s="856" t="s">
        <v>431</v>
      </c>
      <c r="AP15" s="3479" t="str">
        <f>IF(T15="","",T15)</f>
        <v>Добавить территорию для дифференциации</v>
      </c>
      <c r="AS15" s="3473">
        <v>0</v>
      </c>
    </row>
    <row customHeight="1" ht="14.25" hidden="1">
      <c r="AS16" s="3432">
        <v>0</v>
      </c>
    </row>
    <row customHeight="1" ht="14.25" hidden="1">
      <c r="AD17" s="719"/>
      <c r="AE17" s="719"/>
      <c r="AF17" s="719"/>
      <c r="AG17" s="857"/>
      <c r="AH17" s="858"/>
      <c r="AI17" s="616" t="s">
        <v>61</v>
      </c>
      <c r="AJ17" s="858"/>
      <c r="AK17" s="616" t="s">
        <v>61</v>
      </c>
      <c r="AS17" s="3432">
        <v>0</v>
      </c>
    </row>
    <row customHeight="1" ht="14.25" hidden="1">
      <c r="AD18" s="719"/>
      <c r="AE18" s="719"/>
      <c r="AF18" s="719"/>
      <c r="AG18" s="842" t="str">
        <f>AH17&amp;"-"&amp;AJ17</f>
        <v>-</v>
      </c>
      <c r="AH18" s="616"/>
      <c r="AI18" s="616"/>
      <c r="AJ18" s="616"/>
      <c r="AK18" s="616"/>
      <c r="AS18" s="3432">
        <v>0</v>
      </c>
    </row>
    <row customHeight="1" ht="14.25" hidden="1">
      <c r="AS19" s="3432">
        <v>0</v>
      </c>
    </row>
    <row customHeight="1" ht="22.5" hidden="1">
      <c r="O20" s="859" t="s">
        <v>432</v>
      </c>
      <c r="Z20" s="859"/>
      <c r="AB20" s="859"/>
      <c r="AH20" s="859"/>
      <c r="AJ20" s="859"/>
      <c r="AS20" s="3449">
        <v>0</v>
      </c>
    </row>
    <row customHeight="1" ht="14.25" hidden="1">
      <c r="AS21" s="3449">
        <v>0</v>
      </c>
    </row>
    <row customHeight="1" ht="14.25" hidden="1">
      <c r="O22" s="3830" t="s">
        <v>433</v>
      </c>
      <c r="T22" s="3449" t="s">
        <v>434</v>
      </c>
      <c r="AA22" s="3511" t="s">
        <v>435</v>
      </c>
      <c r="AC22" s="3511" t="s">
        <v>436</v>
      </c>
      <c r="AD22" s="3449" t="s">
        <v>434</v>
      </c>
      <c r="AI22" s="3511" t="s">
        <v>437</v>
      </c>
      <c r="AK22" s="3511" t="s">
        <v>436</v>
      </c>
      <c r="AS22" s="3449">
        <v>0</v>
      </c>
    </row>
    <row customHeight="1" ht="14.25" hidden="1">
      <c r="AS23" s="3432">
        <v>0</v>
      </c>
    </row>
    <row customHeight="1" ht="14.25" hidden="1">
      <c r="AS24" s="3432">
        <v>0</v>
      </c>
    </row>
    <row customHeight="1" ht="14.699999999999998">
      <c r="Q25" s="3719"/>
      <c r="R25" s="3719"/>
      <c r="S25" s="3842"/>
      <c r="T25" s="3450"/>
      <c r="U25" s="3450"/>
      <c r="AS25" s="3432">
        <v>14</v>
      </c>
    </row>
    <row customHeight="1" ht="54.75">
      <c r="Q26" s="3719"/>
      <c r="R26" s="3719"/>
      <c r="S26" s="35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53"/>
      <c r="U26" s="3553"/>
      <c r="V26" s="3553"/>
      <c r="W26" s="3553"/>
      <c r="X26" s="3553"/>
      <c r="Y26" s="3553"/>
      <c r="Z26" s="3553"/>
      <c r="AA26" s="3553"/>
      <c r="AB26" s="3553"/>
      <c r="AC26" s="3553"/>
      <c r="AD26" s="3553"/>
      <c r="AE26" s="3553"/>
      <c r="AF26" s="3553"/>
      <c r="AG26" s="3553"/>
      <c r="AH26" s="3553"/>
      <c r="AI26" s="3553"/>
      <c r="AJ26" s="3553"/>
      <c r="AS26" s="3432">
        <v>52</v>
      </c>
    </row>
    <row customHeight="1" ht="14.699999999999998">
      <c r="Q27" s="3719"/>
      <c r="R27" s="3719"/>
      <c r="S27" s="3554" t="str">
        <f>IF(org=0,"Не определено",org)</f>
        <v>ООО "ТеплоЭлектроГенерирующая Компания"</v>
      </c>
      <c r="T27" s="3554"/>
      <c r="U27" s="3554"/>
      <c r="V27" s="3554"/>
      <c r="W27" s="3554"/>
      <c r="X27" s="3554"/>
      <c r="Y27" s="3554"/>
      <c r="Z27" s="3554"/>
      <c r="AA27" s="3554"/>
      <c r="AB27" s="3554"/>
      <c r="AC27" s="3554"/>
      <c r="AD27" s="3554"/>
      <c r="AE27" s="3554"/>
      <c r="AF27" s="3554"/>
      <c r="AG27" s="3554"/>
      <c r="AH27" s="3554"/>
      <c r="AI27" s="3554"/>
      <c r="AJ27" s="3554"/>
      <c r="AS27" s="3432">
        <v>14</v>
      </c>
    </row>
    <row customHeight="1" ht="14.25" hidden="1">
      <c r="Q28" s="3719"/>
      <c r="R28" s="3719"/>
      <c r="S28" s="3842"/>
      <c r="T28" s="3450"/>
      <c r="U28" s="3450"/>
      <c r="V28" s="3804"/>
      <c r="W28" s="3804"/>
      <c r="X28" s="3804"/>
      <c r="Y28" s="3804"/>
      <c r="Z28" s="3804"/>
      <c r="AA28" s="3804"/>
      <c r="AB28" s="3804"/>
      <c r="AC28" s="3804"/>
      <c r="AD28" s="3804"/>
      <c r="AE28" s="3804"/>
      <c r="AF28" s="3804"/>
      <c r="AG28" s="3804"/>
      <c r="AH28" s="3804"/>
      <c r="AI28" s="3804"/>
      <c r="AJ28" s="3804"/>
      <c r="AK28" s="3804"/>
      <c r="AS28" s="3432">
        <v>0</v>
      </c>
    </row>
    <row customHeight="1" ht="25.5" hidden="1">
      <c r="S29" s="3843" t="s">
        <v>41</v>
      </c>
      <c r="T29" s="3843"/>
      <c r="U29" s="3844"/>
      <c r="V29" s="3806" t="str">
        <f>IF(TITLE_NAME_OR_PR_CHANGE="",IF(TITLE_NAME_OR_PR="","",TITLE_NAME_OR_PR),TITLE_NAME_OR_PR_CHANGE)</f>
        <v/>
      </c>
      <c r="W29" s="3806"/>
      <c r="X29" s="3806"/>
      <c r="Y29" s="3806"/>
      <c r="Z29" s="3806"/>
      <c r="AA29" s="3806"/>
      <c r="AB29" s="3806"/>
      <c r="AD29" s="3806" t="str">
        <f>IF(TITLE_NAME_OR_PR_CHANGE="",IF(TITLE_NAME_OR_PR="","",TITLE_NAME_OR_PR),TITLE_NAME_OR_PR_CHANGE)</f>
        <v/>
      </c>
      <c r="AE29" s="3806"/>
      <c r="AF29" s="3806"/>
      <c r="AG29" s="3806"/>
      <c r="AH29" s="3806"/>
      <c r="AI29" s="3806"/>
      <c r="AJ29" s="3806"/>
      <c r="AS29" s="3489">
        <v>0</v>
      </c>
    </row>
    <row customHeight="1" ht="18.75" hidden="1">
      <c r="S30" s="3843" t="s">
        <v>438</v>
      </c>
      <c r="T30" s="3843"/>
      <c r="U30" s="3844"/>
      <c r="V30" s="795" t="str">
        <f>IF(TITLE_DATE_PR_CHANGE="",IF(TITLE_DATE_PR="","",TITLE_DATE_PR),TITLE_DATE_PR_CHANGE)</f>
        <v/>
      </c>
      <c r="W30" s="795"/>
      <c r="X30" s="795"/>
      <c r="Y30" s="795"/>
      <c r="Z30" s="795"/>
      <c r="AA30" s="795"/>
      <c r="AB30" s="795"/>
      <c r="AD30" s="795" t="str">
        <f>IF(TITLE_DATE_PR_CHANGE="",IF(TITLE_DATE_PR="","",TITLE_DATE_PR),TITLE_DATE_PR_CHANGE)</f>
        <v/>
      </c>
      <c r="AE30" s="795"/>
      <c r="AF30" s="795"/>
      <c r="AG30" s="795"/>
      <c r="AH30" s="795"/>
      <c r="AI30" s="795"/>
      <c r="AJ30" s="795"/>
      <c r="AS30" s="3489">
        <v>0</v>
      </c>
    </row>
    <row customHeight="1" ht="18.75" hidden="1">
      <c r="S31" s="3843" t="s">
        <v>439</v>
      </c>
      <c r="T31" s="3843"/>
      <c r="U31" s="3844"/>
      <c r="V31" s="3806" t="str">
        <f>IF(TITLE_NUMBER_PR_CHANGE="",IF(TITLE_NUMBER_PR="","",TITLE_NUMBER_PR),TITLE_NUMBER_PR_CHANGE)</f>
        <v/>
      </c>
      <c r="W31" s="3806"/>
      <c r="X31" s="3806"/>
      <c r="Y31" s="3806"/>
      <c r="Z31" s="3806"/>
      <c r="AA31" s="3806"/>
      <c r="AB31" s="3806"/>
      <c r="AD31" s="3806" t="str">
        <f>IF(TITLE_NUMBER_PR_CHANGE="",IF(TITLE_NUMBER_PR="","",TITLE_NUMBER_PR),TITLE_NUMBER_PR_CHANGE)</f>
        <v/>
      </c>
      <c r="AE31" s="3806"/>
      <c r="AF31" s="3806"/>
      <c r="AG31" s="3806"/>
      <c r="AH31" s="3806"/>
      <c r="AI31" s="3806"/>
      <c r="AJ31" s="3806"/>
      <c r="AS31" s="3489">
        <v>0</v>
      </c>
    </row>
    <row customHeight="1" ht="18.75" hidden="1">
      <c r="S32" s="3843" t="s">
        <v>42</v>
      </c>
      <c r="T32" s="3843"/>
      <c r="U32" s="3844"/>
      <c r="V32" s="3806" t="str">
        <f>IF(TITLE_IST_PUB_CHANGE="",IF(TITLE_IST_PUB="","",TITLE_IST_PUB),TITLE_IST_PUB_CHANGE)</f>
        <v/>
      </c>
      <c r="W32" s="3806"/>
      <c r="X32" s="3806"/>
      <c r="Y32" s="3806"/>
      <c r="Z32" s="3806"/>
      <c r="AA32" s="3806"/>
      <c r="AB32" s="3806"/>
      <c r="AD32" s="3806" t="str">
        <f>IF(TITLE_IST_PUB_CHANGE="",IF(TITLE_IST_PUB="","",TITLE_IST_PUB),TITLE_IST_PUB_CHANGE)</f>
        <v/>
      </c>
      <c r="AE32" s="3806"/>
      <c r="AF32" s="3806"/>
      <c r="AG32" s="3806"/>
      <c r="AH32" s="3806"/>
      <c r="AI32" s="3806"/>
      <c r="AJ32" s="3806"/>
      <c r="AS32" s="3489">
        <v>0</v>
      </c>
    </row>
    <row customHeight="1" ht="14.25" hidden="1">
      <c r="Q33" s="3719"/>
      <c r="R33" s="3719"/>
      <c r="S33" s="3842"/>
      <c r="T33" s="3450"/>
      <c r="U33" s="3450"/>
      <c r="V33" s="3804"/>
      <c r="W33" s="3804"/>
      <c r="X33" s="3804"/>
      <c r="Y33" s="3804"/>
      <c r="Z33" s="3804"/>
      <c r="AA33" s="3804"/>
      <c r="AB33" s="3804"/>
      <c r="AC33" s="3804"/>
      <c r="AD33" s="3804"/>
      <c r="AE33" s="3804"/>
      <c r="AF33" s="3804"/>
      <c r="AG33" s="3804"/>
      <c r="AH33" s="3804"/>
      <c r="AI33" s="3804"/>
      <c r="AJ33" s="3804"/>
      <c r="AK33" s="3804"/>
      <c r="AS33" s="3432">
        <v>0</v>
      </c>
    </row>
    <row customHeight="1" ht="18.75" hidden="1">
      <c r="S34" s="3843" t="s">
        <v>440</v>
      </c>
      <c r="T34" s="3843"/>
      <c r="U34" s="3844"/>
      <c r="V34" s="795" t="str">
        <f>IF(TITLE_DATE_PR_CHANGE="",IF(TITLE_DATE_PR="","",TITLE_DATE_PR),TITLE_DATE_PR_CHANGE)</f>
        <v/>
      </c>
      <c r="W34" s="795"/>
      <c r="X34" s="795"/>
      <c r="Y34" s="795"/>
      <c r="Z34" s="795"/>
      <c r="AA34" s="795"/>
      <c r="AB34" s="795"/>
      <c r="AD34" s="795" t="str">
        <f>IF(TITLE_DATE_PR_CHANGE="",IF(TITLE_DATE_PR="","",TITLE_DATE_PR),TITLE_DATE_PR_CHANGE)</f>
        <v/>
      </c>
      <c r="AE34" s="795"/>
      <c r="AF34" s="795"/>
      <c r="AG34" s="795"/>
      <c r="AH34" s="795"/>
      <c r="AI34" s="795"/>
      <c r="AJ34" s="795"/>
      <c r="AS34" s="3489">
        <v>0</v>
      </c>
    </row>
    <row customHeight="1" ht="18.75" hidden="1">
      <c r="S35" s="3843" t="s">
        <v>441</v>
      </c>
      <c r="T35" s="3843"/>
      <c r="U35" s="3844"/>
      <c r="V35" s="3806" t="str">
        <f>IF(TITLE_NUMBER_PR_CHANGE="",IF(TITLE_NUMBER_PR="","",TITLE_NUMBER_PR),TITLE_NUMBER_PR_CHANGE)</f>
        <v/>
      </c>
      <c r="W35" s="3806"/>
      <c r="X35" s="3806"/>
      <c r="Y35" s="3806"/>
      <c r="Z35" s="3806"/>
      <c r="AA35" s="3806"/>
      <c r="AB35" s="3806"/>
      <c r="AD35" s="3806" t="str">
        <f>IF(TITLE_NUMBER_PR_CHANGE="",IF(TITLE_NUMBER_PR="","",TITLE_NUMBER_PR),TITLE_NUMBER_PR_CHANGE)</f>
        <v/>
      </c>
      <c r="AE35" s="3806"/>
      <c r="AF35" s="3806"/>
      <c r="AG35" s="3806"/>
      <c r="AH35" s="3806"/>
      <c r="AI35" s="3806"/>
      <c r="AJ35" s="3806"/>
      <c r="AS35" s="3489">
        <v>0</v>
      </c>
    </row>
    <row customHeight="1" ht="0">
      <c r="AC36" s="3473" t="s">
        <v>442</v>
      </c>
      <c r="AK36" s="3473" t="s">
        <v>442</v>
      </c>
      <c r="AS36" s="3489">
        <v>0</v>
      </c>
    </row>
    <row customHeight="1" ht="14.699999999999998">
      <c r="Q37" s="3719"/>
      <c r="R37" s="3719"/>
      <c r="S37" s="3842"/>
      <c r="T37" s="3450"/>
      <c r="U37" s="3845"/>
      <c r="V37" s="3846"/>
      <c r="W37" s="3846"/>
      <c r="X37" s="3846"/>
      <c r="Y37" s="3846"/>
      <c r="Z37" s="3846"/>
      <c r="AA37" s="3846"/>
      <c r="AB37" s="3846"/>
      <c r="AC37" s="3846"/>
      <c r="AD37" s="3846"/>
      <c r="AE37" s="3846"/>
      <c r="AF37" s="3846"/>
      <c r="AG37" s="3846"/>
      <c r="AH37" s="3846"/>
      <c r="AI37" s="3846"/>
      <c r="AJ37" s="3846"/>
      <c r="AK37" s="3846"/>
      <c r="AS37" s="3432">
        <v>14</v>
      </c>
    </row>
    <row customHeight="1" ht="14.699999999999998">
      <c r="Q38" s="3719"/>
      <c r="R38" s="3719"/>
      <c r="S38" s="3480" t="s">
        <v>315</v>
      </c>
      <c r="T38" s="3480"/>
      <c r="U38" s="3480"/>
      <c r="V38" s="3480"/>
      <c r="W38" s="3480"/>
      <c r="X38" s="3480"/>
      <c r="Y38" s="3480"/>
      <c r="Z38" s="3480"/>
      <c r="AA38" s="3480"/>
      <c r="AB38" s="3480"/>
      <c r="AC38" s="3480"/>
      <c r="AD38" s="3480"/>
      <c r="AE38" s="3480"/>
      <c r="AF38" s="3480"/>
      <c r="AG38" s="3480"/>
      <c r="AH38" s="3480"/>
      <c r="AI38" s="3480"/>
      <c r="AJ38" s="3480"/>
      <c r="AK38" s="3480"/>
      <c r="AL38" s="3480"/>
      <c r="AM38" s="3480" t="s">
        <v>316</v>
      </c>
      <c r="AS38" s="3432">
        <v>14</v>
      </c>
    </row>
    <row customHeight="1" ht="14.699999999999998">
      <c r="Q39" s="3719"/>
      <c r="R39" s="3719"/>
      <c r="S39" s="3818" t="s">
        <v>86</v>
      </c>
      <c r="T39" s="3579" t="s">
        <v>443</v>
      </c>
      <c r="U39" s="3793"/>
      <c r="V39" s="3847" t="s">
        <v>444</v>
      </c>
      <c r="W39" s="3848"/>
      <c r="X39" s="3848"/>
      <c r="Y39" s="3848"/>
      <c r="Z39" s="3848"/>
      <c r="AA39" s="3848"/>
      <c r="AB39" s="3849"/>
      <c r="AC39" s="3807" t="s">
        <v>445</v>
      </c>
      <c r="AD39" s="3847" t="s">
        <v>444</v>
      </c>
      <c r="AE39" s="3848"/>
      <c r="AF39" s="3848"/>
      <c r="AG39" s="3848"/>
      <c r="AH39" s="3848"/>
      <c r="AI39" s="3848"/>
      <c r="AJ39" s="3849"/>
      <c r="AK39" s="3807" t="s">
        <v>446</v>
      </c>
      <c r="AL39" s="868" t="s">
        <v>447</v>
      </c>
      <c r="AM39" s="3480"/>
      <c r="AS39" s="3432">
        <v>14</v>
      </c>
    </row>
    <row customHeight="1" ht="35.699999999999996">
      <c r="Q40" s="3719"/>
      <c r="R40" s="3719"/>
      <c r="S40" s="3818"/>
      <c r="T40" s="3579"/>
      <c r="U40" s="3798"/>
      <c r="V40" s="3558" t="s">
        <v>448</v>
      </c>
      <c r="W40" s="3850"/>
      <c r="X40" s="3437" t="s">
        <v>450</v>
      </c>
      <c r="Y40" s="3436"/>
      <c r="Z40" s="3437" t="s">
        <v>451</v>
      </c>
      <c r="AA40" s="3477"/>
      <c r="AB40" s="3436"/>
      <c r="AC40" s="3851"/>
      <c r="AD40" s="3558" t="s">
        <v>465</v>
      </c>
      <c r="AE40" s="3850"/>
      <c r="AF40" s="3437" t="s">
        <v>450</v>
      </c>
      <c r="AG40" s="3436"/>
      <c r="AH40" s="3437" t="s">
        <v>451</v>
      </c>
      <c r="AI40" s="3477"/>
      <c r="AJ40" s="3436"/>
      <c r="AK40" s="3851"/>
      <c r="AL40" s="871"/>
      <c r="AM40" s="3480"/>
      <c r="AS40" s="3432">
        <v>34</v>
      </c>
    </row>
    <row customHeight="1" ht="35.699999999999996">
      <c r="B41" s="3511" t="s">
        <v>153</v>
      </c>
      <c r="C41" s="3511" t="s">
        <v>154</v>
      </c>
      <c r="D41" s="3511" t="s">
        <v>155</v>
      </c>
      <c r="E41" s="3830" t="s">
        <v>452</v>
      </c>
      <c r="F41" s="3830" t="s">
        <v>453</v>
      </c>
      <c r="G41" s="3830" t="s">
        <v>454</v>
      </c>
      <c r="H41" s="3830" t="s">
        <v>455</v>
      </c>
      <c r="I41" s="3830" t="s">
        <v>456</v>
      </c>
      <c r="J41" s="3830" t="s">
        <v>457</v>
      </c>
      <c r="K41" s="3830" t="s">
        <v>458</v>
      </c>
      <c r="L41" s="3830" t="s">
        <v>433</v>
      </c>
      <c r="Q41" s="3719"/>
      <c r="R41" s="3719"/>
      <c r="S41" s="3818"/>
      <c r="T41" s="3579"/>
      <c r="U41" s="3852"/>
      <c r="V41" s="3483"/>
      <c r="W41" s="3710"/>
      <c r="X41" s="3525" t="s">
        <v>459</v>
      </c>
      <c r="Y41" s="3525" t="s">
        <v>460</v>
      </c>
      <c r="Z41" s="3525" t="s">
        <v>461</v>
      </c>
      <c r="AA41" s="3626" t="s">
        <v>462</v>
      </c>
      <c r="AB41" s="3628"/>
      <c r="AC41" s="3810"/>
      <c r="AD41" s="3483"/>
      <c r="AE41" s="3710"/>
      <c r="AF41" s="3525" t="s">
        <v>459</v>
      </c>
      <c r="AG41" s="3525" t="s">
        <v>460</v>
      </c>
      <c r="AH41" s="3525" t="s">
        <v>461</v>
      </c>
      <c r="AI41" s="3626" t="s">
        <v>462</v>
      </c>
      <c r="AJ41" s="3628"/>
      <c r="AK41" s="3810"/>
      <c r="AL41" s="873"/>
      <c r="AM41" s="3480"/>
      <c r="AS41" s="3432">
        <v>34</v>
      </c>
    </row>
    <row customHeight="1" ht="11.25" hidden="1">
      <c r="Q42" s="3853"/>
      <c r="R42" s="3854">
        <v>1</v>
      </c>
      <c r="S42" s="876" t="s">
        <v>107</v>
      </c>
      <c r="T42" s="877" t="s">
        <v>108</v>
      </c>
      <c r="U42" s="3855" t="str">
        <f>OFFSET(U42,0,-1)</f>
        <v>2</v>
      </c>
      <c r="V42" s="3856">
        <f>OFFSET(V42,0,-1)+1</f>
        <v>3</v>
      </c>
      <c r="W42" s="3856"/>
      <c r="X42" s="3856">
        <f>OFFSET(X42,0,-1)+1</f>
        <v>1</v>
      </c>
      <c r="Y42" s="3856">
        <f>OFFSET(Y42,0,-1)+1</f>
        <v>2</v>
      </c>
      <c r="Z42" s="3856">
        <f>OFFSET(Z42,0,-1)+1</f>
        <v>3</v>
      </c>
      <c r="AA42" s="3856">
        <f>OFFSET(AA42,0,-1)+1</f>
        <v>4</v>
      </c>
      <c r="AB42" s="3856"/>
      <c r="AC42" s="3856">
        <f>OFFSET(AC42,0,-2)+1</f>
        <v>5</v>
      </c>
      <c r="AD42" s="3856">
        <f>OFFSET(AD42,0,-1)+1</f>
        <v>6</v>
      </c>
      <c r="AE42" s="3856"/>
      <c r="AF42" s="3856">
        <f>OFFSET(AF42,0,-1)+1</f>
        <v>1</v>
      </c>
      <c r="AG42" s="3856">
        <f>OFFSET(AG42,0,-1)+1</f>
        <v>2</v>
      </c>
      <c r="AH42" s="3856">
        <f>OFFSET(AH42,0,-1)+1</f>
        <v>3</v>
      </c>
      <c r="AI42" s="3856">
        <f>OFFSET(AI42,0,-1)+1</f>
        <v>4</v>
      </c>
      <c r="AJ42" s="3856"/>
      <c r="AK42" s="3856">
        <f>OFFSET(AK42,0,-2)+1</f>
        <v>5</v>
      </c>
      <c r="AL42" s="3855">
        <f>OFFSET(AL42,0,-1)</f>
        <v>5</v>
      </c>
      <c r="AM42" s="3856">
        <f>OFFSET(AM42,0,-1)+1</f>
        <v>6</v>
      </c>
      <c r="AS42" s="3637">
        <v>0</v>
      </c>
    </row>
    <row customHeight="1" ht="22.049999999999997">
      <c r="A43" s="3857" t="s">
        <v>197</v>
      </c>
      <c r="E43" s="3817">
        <v>1</v>
      </c>
      <c r="R43" s="816"/>
      <c r="S43" s="3818">
        <f>INDEX(PT_DIFFERENTIATION_NUM_NTAR,MATCH(A43,PT_DIFFERENTIATION_NTAR_ID,0))</f>
        <v>0</v>
      </c>
      <c r="T43" s="3764" t="s">
        <v>141</v>
      </c>
      <c r="U43" s="3819"/>
      <c r="V43" s="3820"/>
      <c r="W43" s="3821"/>
      <c r="X43" s="3821"/>
      <c r="Y43" s="3821"/>
      <c r="Z43" s="3821"/>
      <c r="AA43" s="3821"/>
      <c r="AB43" s="3821"/>
      <c r="AC43" s="3822"/>
      <c r="AD43" s="3820" t="str">
        <f>INDEX(PT_DIFFERENTIATION_NTAR,MATCH(A43,PT_DIFFERENTIATION_NTAR_ID,0))</f>
        <v/>
      </c>
      <c r="AE43" s="3821"/>
      <c r="AF43" s="3821"/>
      <c r="AG43" s="3821"/>
      <c r="AH43" s="3821"/>
      <c r="AI43" s="3821"/>
      <c r="AJ43" s="3821"/>
      <c r="AK43" s="3821"/>
      <c r="AL43" s="3822"/>
      <c r="AM43" s="38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3479" t="str">
        <f>IF(T43="","",T43)</f>
        <v>Наименование тарифа</v>
      </c>
      <c r="AS43" s="3432">
        <v>21</v>
      </c>
    </row>
    <row customHeight="1" ht="22.049999999999997">
      <c r="A44" s="3857" t="s">
        <v>197</v>
      </c>
      <c r="B44" s="3857" t="s">
        <v>198</v>
      </c>
      <c r="E44" s="3824"/>
      <c r="F44" s="3817">
        <v>1</v>
      </c>
      <c r="Q44" s="3825"/>
      <c r="R44" s="3826"/>
      <c r="S44" s="3818" t="str">
        <f>INDEX(PT_DIFFERENTIATION_NUM_TER,MATCH(B44,PT_DIFFERENTIATION_TER_ID,0))</f>
        <v>.</v>
      </c>
      <c r="T44" s="3827" t="s">
        <v>412</v>
      </c>
      <c r="U44" s="3819"/>
      <c r="V44" s="3820"/>
      <c r="W44" s="3821"/>
      <c r="X44" s="3821"/>
      <c r="Y44" s="3821"/>
      <c r="Z44" s="3821"/>
      <c r="AA44" s="3821"/>
      <c r="AB44" s="3821"/>
      <c r="AC44" s="3822"/>
      <c r="AD44" s="3820" t="str">
        <f>INDEX(PT_DIFFERENTIATION_TER,MATCH(B44,PT_DIFFERENTIATION_TER_ID,0))</f>
        <v/>
      </c>
      <c r="AE44" s="3821"/>
      <c r="AF44" s="3821"/>
      <c r="AG44" s="3821"/>
      <c r="AH44" s="3821"/>
      <c r="AI44" s="3821"/>
      <c r="AJ44" s="3821"/>
      <c r="AK44" s="3821"/>
      <c r="AL44" s="3822"/>
      <c r="AM44" s="3823" t="s">
        <v>413</v>
      </c>
      <c r="AP44" s="3479" t="str">
        <f>IF(T44="","",T44)</f>
        <v>Территория действия тарифа</v>
      </c>
      <c r="AS44" s="3432">
        <v>21</v>
      </c>
    </row>
    <row customHeight="1" ht="24">
      <c r="A45" s="3857" t="s">
        <v>197</v>
      </c>
      <c r="B45" s="3857" t="s">
        <v>198</v>
      </c>
      <c r="C45" s="3857" t="s">
        <v>199</v>
      </c>
      <c r="E45" s="3824"/>
      <c r="F45" s="3824"/>
      <c r="G45" s="3817">
        <v>1</v>
      </c>
      <c r="Q45" s="3825"/>
      <c r="R45" s="3826"/>
      <c r="S45" s="3818" t="str">
        <f>INDEX(PT_DIFFERENTIATION_NUM_CS,MATCH(C45,PT_DIFFERENTIATION_CS_ID,0))</f>
        <v>..</v>
      </c>
      <c r="T45" s="3828" t="s">
        <v>414</v>
      </c>
      <c r="U45" s="3819"/>
      <c r="V45" s="3820"/>
      <c r="W45" s="3821"/>
      <c r="X45" s="3821"/>
      <c r="Y45" s="3821"/>
      <c r="Z45" s="3821"/>
      <c r="AA45" s="3821"/>
      <c r="AB45" s="3821"/>
      <c r="AC45" s="3822"/>
      <c r="AD45" s="3820" t="str">
        <f>INDEX(PT_DIFFERENTIATION_CS,MATCH(C45,PT_DIFFERENTIATION_CS_ID,0))</f>
        <v/>
      </c>
      <c r="AE45" s="3821"/>
      <c r="AF45" s="3821"/>
      <c r="AG45" s="3821"/>
      <c r="AH45" s="3821"/>
      <c r="AI45" s="3821"/>
      <c r="AJ45" s="3821"/>
      <c r="AK45" s="3821"/>
      <c r="AL45" s="3822"/>
      <c r="AM45" s="3823" t="s">
        <v>415</v>
      </c>
      <c r="AP45" s="3479" t="str">
        <f>IF(T45="","",T45)</f>
        <v>Наименование системы теплоснабжения </v>
      </c>
      <c r="AS45" s="3432">
        <v>23</v>
      </c>
    </row>
    <row customHeight="1" ht="22.049999999999997">
      <c r="A46" s="3857" t="s">
        <v>197</v>
      </c>
      <c r="B46" s="3857" t="s">
        <v>198</v>
      </c>
      <c r="C46" s="3857" t="s">
        <v>199</v>
      </c>
      <c r="D46" s="3857" t="s">
        <v>200</v>
      </c>
      <c r="E46" s="3824"/>
      <c r="F46" s="3824"/>
      <c r="G46" s="3824"/>
      <c r="H46" s="3817">
        <v>1</v>
      </c>
      <c r="Q46" s="3825"/>
      <c r="R46" s="3826"/>
      <c r="S46" s="3818" t="str">
        <f>INDEX(PT_DIFFERENTIATION_NUM_IST_TE,MATCH(D46,PT_DIFFERENTIATION_IST_TE_ID,0))</f>
        <v>...</v>
      </c>
      <c r="T46" s="3829" t="s">
        <v>416</v>
      </c>
      <c r="U46" s="3819"/>
      <c r="V46" s="3820"/>
      <c r="W46" s="3821"/>
      <c r="X46" s="3821"/>
      <c r="Y46" s="3821"/>
      <c r="Z46" s="3821"/>
      <c r="AA46" s="3821"/>
      <c r="AB46" s="3821"/>
      <c r="AC46" s="3822"/>
      <c r="AD46" s="3820" t="str">
        <f>INDEX(PT_DIFFERENTIATION_IST_TE,MATCH(D46,PT_DIFFERENTIATION_IST_TE_ID,0))</f>
        <v/>
      </c>
      <c r="AE46" s="3821"/>
      <c r="AF46" s="3821"/>
      <c r="AG46" s="3821"/>
      <c r="AH46" s="3821"/>
      <c r="AI46" s="3821"/>
      <c r="AJ46" s="3821"/>
      <c r="AK46" s="3821"/>
      <c r="AL46" s="3822"/>
      <c r="AM46" s="3823" t="s">
        <v>417</v>
      </c>
      <c r="AP46" s="3479" t="str">
        <f>IF(T46="","",T46)</f>
        <v>Источник тепловой энергии  </v>
      </c>
      <c r="AS46" s="3432">
        <v>21</v>
      </c>
    </row>
    <row customHeight="1" ht="0">
      <c r="A47" s="3470" t="s">
        <v>197</v>
      </c>
      <c r="B47" s="3470" t="s">
        <v>198</v>
      </c>
      <c r="C47" s="3470" t="s">
        <v>199</v>
      </c>
      <c r="D47" s="3470" t="s">
        <v>200</v>
      </c>
      <c r="E47" s="3824"/>
      <c r="F47" s="3824"/>
      <c r="G47" s="3824"/>
      <c r="H47" s="3824"/>
      <c r="I47" s="3711" t="str">
        <f>S46&amp;".1"</f>
        <v>....1</v>
      </c>
      <c r="L47" s="3866" t="s">
        <v>418</v>
      </c>
      <c r="P47" s="3471">
        <v>1</v>
      </c>
      <c r="R47" s="3831"/>
      <c r="S47" s="3582"/>
      <c r="T47" s="3860"/>
      <c r="U47" s="3861"/>
      <c r="V47" s="3862"/>
      <c r="W47" s="3863"/>
      <c r="X47" s="3863"/>
      <c r="Y47" s="3863"/>
      <c r="Z47" s="3863"/>
      <c r="AA47" s="3863"/>
      <c r="AB47" s="3863"/>
      <c r="AC47" s="3864"/>
      <c r="AD47" s="3862"/>
      <c r="AE47" s="3863"/>
      <c r="AF47" s="3863"/>
      <c r="AG47" s="3863"/>
      <c r="AH47" s="3863"/>
      <c r="AI47" s="3863"/>
      <c r="AJ47" s="3863"/>
      <c r="AK47" s="3863"/>
      <c r="AL47" s="3864"/>
      <c r="AM47" s="3865"/>
      <c r="AP47" s="3479" t="str">
        <f>IF(T47="","",T47)</f>
        <v/>
      </c>
      <c r="AS47" s="3473">
        <v>0</v>
      </c>
    </row>
    <row customHeight="1" ht="22.049999999999997">
      <c r="A48" s="3857" t="s">
        <v>197</v>
      </c>
      <c r="B48" s="3857" t="s">
        <v>198</v>
      </c>
      <c r="C48" s="3857" t="s">
        <v>199</v>
      </c>
      <c r="D48" s="3857" t="s">
        <v>200</v>
      </c>
      <c r="E48" s="3824"/>
      <c r="F48" s="3824"/>
      <c r="G48" s="3824"/>
      <c r="H48" s="3824"/>
      <c r="I48" s="3835"/>
      <c r="J48" s="3711" t="str">
        <f>S46&amp;".1"</f>
        <v>....1</v>
      </c>
      <c r="L48" s="3830" t="s">
        <v>421</v>
      </c>
      <c r="Q48" s="3471">
        <v>1</v>
      </c>
      <c r="R48" s="3836"/>
      <c r="S48" s="3818" t="str">
        <f>$J48</f>
        <v>....1</v>
      </c>
      <c r="T48" s="3837" t="s">
        <v>422</v>
      </c>
      <c r="U48" s="3819"/>
      <c r="V48" s="3638"/>
      <c r="W48" s="3833"/>
      <c r="X48" s="3833"/>
      <c r="Y48" s="3833"/>
      <c r="Z48" s="3833"/>
      <c r="AA48" s="3833"/>
      <c r="AB48" s="3833"/>
      <c r="AC48" s="3834"/>
      <c r="AD48" s="3638"/>
      <c r="AE48" s="3833"/>
      <c r="AF48" s="3833"/>
      <c r="AG48" s="3833"/>
      <c r="AH48" s="3833"/>
      <c r="AI48" s="3833"/>
      <c r="AJ48" s="3833"/>
      <c r="AK48" s="3833"/>
      <c r="AL48" s="3834"/>
      <c r="AM48" s="3823" t="s">
        <v>423</v>
      </c>
      <c r="AP48" s="3479" t="str">
        <f>IF(T48="","",T48)</f>
        <v>Группа потребителей</v>
      </c>
      <c r="AS48" s="3432">
        <v>21</v>
      </c>
    </row>
    <row customHeight="1" ht="22.049999999999997">
      <c r="A49" s="3857" t="s">
        <v>197</v>
      </c>
      <c r="B49" s="3857" t="s">
        <v>198</v>
      </c>
      <c r="C49" s="3857" t="s">
        <v>199</v>
      </c>
      <c r="D49" s="3857" t="s">
        <v>200</v>
      </c>
      <c r="E49" s="3824"/>
      <c r="F49" s="3824"/>
      <c r="G49" s="3824"/>
      <c r="H49" s="3824"/>
      <c r="I49" s="3835"/>
      <c r="J49" s="3835"/>
      <c r="K49" s="3711" t="str">
        <f>J48&amp;".1"</f>
        <v>....1.1</v>
      </c>
      <c r="L49" s="3830" t="s">
        <v>424</v>
      </c>
      <c r="R49" s="3836">
        <v>1</v>
      </c>
      <c r="S49" s="3818" t="str">
        <f>$K49</f>
        <v>....1.1</v>
      </c>
      <c r="T49" s="3838"/>
      <c r="U49" s="3819"/>
      <c r="V49" s="838"/>
      <c r="W49" s="839"/>
      <c r="X49" s="838"/>
      <c r="Y49" s="840"/>
      <c r="Z49" s="572"/>
      <c r="AA49" s="210" t="s">
        <v>61</v>
      </c>
      <c r="AB49" s="572"/>
      <c r="AC49" s="210" t="s">
        <v>61</v>
      </c>
      <c r="AD49" s="838"/>
      <c r="AE49" s="839"/>
      <c r="AF49" s="838"/>
      <c r="AG49" s="840"/>
      <c r="AH49" s="572"/>
      <c r="AI49" s="210" t="s">
        <v>61</v>
      </c>
      <c r="AJ49" s="881"/>
      <c r="AK49" s="210" t="s">
        <v>61</v>
      </c>
      <c r="AL49" s="882"/>
      <c r="AM49" s="3839" t="s">
        <v>466</v>
      </c>
      <c r="AN49" s="3473">
        <f>STRCHECKDATE(V50:AL50)</f>
      </c>
      <c r="AP49" s="3479" t="str">
        <f>IF(T49="","",T49)</f>
        <v/>
      </c>
      <c r="AS49" s="3432">
        <v>21</v>
      </c>
    </row>
    <row customHeight="1" ht="1.05">
      <c r="A50" s="3857" t="s">
        <v>197</v>
      </c>
      <c r="B50" s="3857" t="s">
        <v>198</v>
      </c>
      <c r="C50" s="3857" t="s">
        <v>199</v>
      </c>
      <c r="D50" s="3857" t="s">
        <v>200</v>
      </c>
      <c r="E50" s="3824"/>
      <c r="F50" s="3824"/>
      <c r="G50" s="3824"/>
      <c r="H50" s="3824"/>
      <c r="I50" s="3835"/>
      <c r="J50" s="3835"/>
      <c r="K50" s="3711"/>
      <c r="R50" s="3836"/>
      <c r="S50" s="421"/>
      <c r="T50" s="3819"/>
      <c r="U50" s="3819"/>
      <c r="V50" s="839"/>
      <c r="W50" s="839"/>
      <c r="X50" s="839"/>
      <c r="Y50" s="842" t="str">
        <f>Z49&amp;"-"&amp;AB49</f>
        <v>-</v>
      </c>
      <c r="Z50" s="573"/>
      <c r="AA50" s="210"/>
      <c r="AB50" s="573"/>
      <c r="AC50" s="210"/>
      <c r="AD50" s="839"/>
      <c r="AE50" s="839"/>
      <c r="AF50" s="839"/>
      <c r="AG50" s="842" t="str">
        <f>AH49&amp;"-"&amp;AJ49</f>
        <v>-</v>
      </c>
      <c r="AH50" s="573"/>
      <c r="AI50" s="210"/>
      <c r="AJ50" s="883"/>
      <c r="AK50" s="210"/>
      <c r="AL50" s="884"/>
      <c r="AM50" s="3840"/>
      <c r="AP50" s="3479" t="str">
        <f>IF(T50="","",T50)</f>
        <v/>
      </c>
      <c r="AS50" s="3432">
        <v>1</v>
      </c>
    </row>
    <row customHeight="1" ht="11.549999999999999">
      <c r="A51" s="3857" t="s">
        <v>197</v>
      </c>
      <c r="B51" s="3857" t="s">
        <v>198</v>
      </c>
      <c r="C51" s="3857" t="s">
        <v>199</v>
      </c>
      <c r="D51" s="3857" t="s">
        <v>200</v>
      </c>
      <c r="E51" s="3824"/>
      <c r="F51" s="3824"/>
      <c r="G51" s="3824"/>
      <c r="H51" s="3824"/>
      <c r="I51" s="3835"/>
      <c r="J51" s="3711"/>
      <c r="R51" s="3831"/>
      <c r="S51" s="844"/>
      <c r="T51" s="848" t="s">
        <v>426</v>
      </c>
      <c r="U51" s="200"/>
      <c r="V51" s="200"/>
      <c r="W51" s="200"/>
      <c r="X51" s="200"/>
      <c r="Y51" s="200"/>
      <c r="Z51" s="200"/>
      <c r="AA51" s="200"/>
      <c r="AB51" s="200"/>
      <c r="AC51" s="200"/>
      <c r="AD51" s="200"/>
      <c r="AE51" s="200"/>
      <c r="AF51" s="200"/>
      <c r="AG51" s="200"/>
      <c r="AH51" s="200"/>
      <c r="AI51" s="200"/>
      <c r="AJ51" s="200"/>
      <c r="AK51" s="200"/>
      <c r="AL51" s="846"/>
      <c r="AM51" s="3841"/>
      <c r="AP51" s="3479" t="str">
        <f>IF(T51="","",T51)</f>
        <v>Добавить вид теплоносителя (параметры теплоносителя)</v>
      </c>
      <c r="AS51" s="3432">
        <v>11</v>
      </c>
    </row>
    <row customHeight="1" ht="11.549999999999999">
      <c r="A52" s="3857" t="s">
        <v>197</v>
      </c>
      <c r="B52" s="3857" t="s">
        <v>198</v>
      </c>
      <c r="C52" s="3857" t="s">
        <v>199</v>
      </c>
      <c r="D52" s="3857" t="s">
        <v>200</v>
      </c>
      <c r="E52" s="3824"/>
      <c r="F52" s="3824"/>
      <c r="G52" s="3824"/>
      <c r="H52" s="3824"/>
      <c r="I52" s="3711"/>
      <c r="R52" s="3831"/>
      <c r="S52" s="844"/>
      <c r="T52" s="851" t="s">
        <v>427</v>
      </c>
      <c r="U52" s="200"/>
      <c r="V52" s="200"/>
      <c r="W52" s="200"/>
      <c r="X52" s="200"/>
      <c r="Y52" s="200"/>
      <c r="Z52" s="200"/>
      <c r="AA52" s="200"/>
      <c r="AB52" s="200"/>
      <c r="AC52" s="849"/>
      <c r="AD52" s="200"/>
      <c r="AE52" s="200"/>
      <c r="AF52" s="200"/>
      <c r="AG52" s="200"/>
      <c r="AH52" s="200"/>
      <c r="AI52" s="200"/>
      <c r="AJ52" s="200"/>
      <c r="AK52" s="849"/>
      <c r="AL52" s="200"/>
      <c r="AM52" s="850"/>
      <c r="AP52" s="3479" t="str">
        <f>IF(T52="","",T52)</f>
        <v>Добавить группу потребителей</v>
      </c>
      <c r="AS52" s="3432">
        <v>11</v>
      </c>
    </row>
    <row customHeight="1" ht="0">
      <c r="A53" s="3857" t="s">
        <v>197</v>
      </c>
      <c r="B53" s="3857" t="s">
        <v>198</v>
      </c>
      <c r="C53" s="3857" t="s">
        <v>199</v>
      </c>
      <c r="D53" s="3857" t="s">
        <v>200</v>
      </c>
      <c r="E53" s="3824"/>
      <c r="F53" s="3824"/>
      <c r="G53" s="3824"/>
      <c r="H53" s="3817"/>
      <c r="R53" s="816"/>
      <c r="S53" s="894"/>
      <c r="T53" s="895"/>
      <c r="U53" s="896"/>
      <c r="V53" s="896"/>
      <c r="W53" s="896"/>
      <c r="X53" s="896"/>
      <c r="Y53" s="896"/>
      <c r="Z53" s="896"/>
      <c r="AA53" s="896"/>
      <c r="AB53" s="896"/>
      <c r="AC53" s="896"/>
      <c r="AD53" s="896"/>
      <c r="AE53" s="896"/>
      <c r="AF53" s="896"/>
      <c r="AG53" s="896"/>
      <c r="AH53" s="896"/>
      <c r="AI53" s="896"/>
      <c r="AJ53" s="896"/>
      <c r="AK53" s="896"/>
      <c r="AL53" s="896"/>
      <c r="AM53" s="897"/>
      <c r="AP53" s="3479" t="str">
        <f>IF(T53="","",T53)</f>
        <v/>
      </c>
      <c r="AS53" s="3432">
        <v>0</v>
      </c>
    </row>
    <row customHeight="1" ht="1.05">
      <c r="A54" s="3470" t="s">
        <v>197</v>
      </c>
      <c r="B54" s="3470" t="s">
        <v>198</v>
      </c>
      <c r="C54" s="3470" t="s">
        <v>199</v>
      </c>
      <c r="E54" s="3824"/>
      <c r="F54" s="3824"/>
      <c r="G54" s="3817"/>
      <c r="T54" s="856" t="s">
        <v>429</v>
      </c>
      <c r="AP54" s="3479" t="str">
        <f>IF(T54="","",T54)</f>
        <v>Добавить источник для дифференциации</v>
      </c>
      <c r="AS54" s="3473">
        <v>1</v>
      </c>
    </row>
    <row customHeight="1" ht="1.05">
      <c r="A55" s="3470" t="s">
        <v>197</v>
      </c>
      <c r="B55" s="3470" t="s">
        <v>198</v>
      </c>
      <c r="E55" s="3824"/>
      <c r="F55" s="3817"/>
      <c r="T55" s="856" t="s">
        <v>430</v>
      </c>
      <c r="AP55" s="3479" t="str">
        <f>IF(T55="","",T55)</f>
        <v>Добавить централизованную систему для дифференциации</v>
      </c>
      <c r="AS55" s="3473">
        <v>1</v>
      </c>
    </row>
    <row customHeight="1" ht="1.05">
      <c r="A56" s="3470" t="s">
        <v>197</v>
      </c>
      <c r="E56" s="3817"/>
      <c r="T56" s="856" t="s">
        <v>431</v>
      </c>
      <c r="AP56" s="3479" t="str">
        <f>IF(T56="","",T56)</f>
        <v>Добавить территорию для дифференциации</v>
      </c>
      <c r="AS56" s="3473">
        <v>1</v>
      </c>
    </row>
    <row customHeight="1" ht="1.05">
      <c r="T57" s="856" t="s">
        <v>463</v>
      </c>
      <c r="AP57" s="3479" t="str">
        <f>IF(T57="","",T57)</f>
        <v>Добавить наименование тарифа</v>
      </c>
      <c r="AS57" s="3473">
        <v>1</v>
      </c>
    </row>
    <row customHeight="1" ht="11.549999999999999">
      <c r="AS58" s="3432">
        <v>11</v>
      </c>
    </row>
    <row customHeight="1" ht="23.25">
      <c r="AS59" s="3432">
        <v>22</v>
      </c>
    </row>
    <row customHeight="1" ht="30.45">
      <c r="AS60" s="3432">
        <v>29</v>
      </c>
    </row>
    <row customHeight="1" ht="42">
      <c r="AS61" s="3432">
        <v>40</v>
      </c>
    </row>
    <row customHeight="1" ht="14.699999999999998">
      <c r="AS62" s="3432">
        <v>14</v>
      </c>
    </row>
    <row customHeight="1" ht="21">
      <c r="AS63" s="3432">
        <v>20</v>
      </c>
    </row>
    <row customHeight="1" ht="29.25">
      <c r="AS64" s="3432">
        <v>28</v>
      </c>
    </row>
    <row customHeight="1" ht="35.699999999999996">
      <c r="AS65" s="3432">
        <v>34</v>
      </c>
    </row>
    <row customHeight="1" ht="22.5" hidden="1">
      <c r="A66" s="3449" t="s">
        <v>80</v>
      </c>
      <c r="B66" s="3449">
        <v>0</v>
      </c>
      <c r="C66" s="3449">
        <v>0</v>
      </c>
      <c r="D66" s="3449">
        <v>0</v>
      </c>
      <c r="E66" s="3449">
        <v>0</v>
      </c>
      <c r="F66" s="3449">
        <v>0</v>
      </c>
      <c r="G66" s="3449">
        <v>0</v>
      </c>
      <c r="H66" s="3449">
        <v>0</v>
      </c>
      <c r="I66" s="3449">
        <v>0</v>
      </c>
      <c r="J66" s="3449">
        <v>0</v>
      </c>
      <c r="K66" s="3449">
        <v>0</v>
      </c>
      <c r="L66" s="3618">
        <v>0</v>
      </c>
      <c r="M66" s="105">
        <v>0</v>
      </c>
      <c r="N66" s="105">
        <v>0</v>
      </c>
      <c r="O66" s="105">
        <v>0</v>
      </c>
      <c r="P66" s="782">
        <v>0</v>
      </c>
      <c r="Q66" s="3797">
        <v>3</v>
      </c>
      <c r="R66" s="3797">
        <v>3</v>
      </c>
      <c r="S66" s="3447">
        <v>12</v>
      </c>
      <c r="T66" s="3432">
        <v>31</v>
      </c>
      <c r="U66" s="3432">
        <v>0</v>
      </c>
      <c r="V66" s="3432">
        <v>0</v>
      </c>
      <c r="W66" s="3432">
        <v>0</v>
      </c>
      <c r="X66" s="3432">
        <v>0</v>
      </c>
      <c r="Y66" s="3432">
        <v>0</v>
      </c>
      <c r="Z66" s="3432">
        <v>0</v>
      </c>
      <c r="AA66" s="3432">
        <v>0</v>
      </c>
      <c r="AB66" s="3432">
        <v>0</v>
      </c>
      <c r="AC66" s="3432">
        <v>0</v>
      </c>
      <c r="AD66" s="3432">
        <v>24</v>
      </c>
      <c r="AE66" s="3432">
        <v>0</v>
      </c>
      <c r="AF66" s="3432">
        <v>24</v>
      </c>
      <c r="AG66" s="3432">
        <v>24</v>
      </c>
      <c r="AH66" s="3432">
        <v>11</v>
      </c>
      <c r="AI66" s="3432">
        <v>3</v>
      </c>
      <c r="AJ66" s="3432">
        <v>11</v>
      </c>
      <c r="AK66" s="3432">
        <v>0</v>
      </c>
      <c r="AL66" s="3432">
        <v>4</v>
      </c>
      <c r="AM66" s="3432">
        <v>115</v>
      </c>
      <c r="AN66" s="3473">
        <v>10</v>
      </c>
      <c r="AO66" s="3473">
        <v>10</v>
      </c>
      <c r="AP66" s="3473">
        <v>10</v>
      </c>
      <c r="AQ66" s="3473">
        <v>10</v>
      </c>
      <c r="AR66" s="3473">
        <v>10</v>
      </c>
      <c r="AS66" s="343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B5987-650D-1BF6-4077-F633ED407E2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6" style="7348" width="3.7109375" hidden="1" customWidth="1"/>
    <col min="17" max="18" style="7348" width="3.00390625" customWidth="1"/>
    <col min="19" max="19" style="7348" width="12.00390625" customWidth="1"/>
    <col min="20" max="20" style="7348" width="31.00390625" customWidth="1"/>
    <col min="21" max="21" style="7348" width="0.140625" customWidth="1"/>
    <col min="22" max="22" style="7348" width="24.7109375" hidden="1" customWidth="1"/>
    <col min="23" max="23" style="7348" width="0.140625" hidden="1" customWidth="1"/>
    <col min="24" max="25" style="7348" width="24.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24.7109375" customWidth="1"/>
    <col min="31" max="31" style="7348" width="0.140625" customWidth="1"/>
    <col min="32" max="33" style="7348" width="24.00390625" customWidth="1"/>
    <col min="34" max="34" style="7348" width="11.00390625" customWidth="1"/>
    <col min="35" max="35" style="7348" width="3.7109375" customWidth="1"/>
    <col min="36" max="36" style="7348" width="11.00390625" customWidth="1"/>
    <col min="37" max="37" style="7348" width="8.57421875" hidden="1" customWidth="1"/>
    <col min="38" max="38" style="7348" width="4.00390625" customWidth="1"/>
    <col min="39" max="39" style="7348" width="115.00390625" customWidth="1"/>
    <col min="40" max="44" style="7348" width="10.00390625" customWidth="1"/>
    <col min="45" max="45" style="7348" width="10.57421875" hidden="1"/>
  </cols>
  <sheetData>
    <row customHeight="1" ht="22.5" hidden="1">
      <c r="AS1" s="3432" t="s">
        <v>14</v>
      </c>
    </row>
    <row customHeight="1" ht="21" hidden="1">
      <c r="E2" s="3817">
        <v>1</v>
      </c>
      <c r="R2" s="816"/>
      <c r="S2" s="3818">
        <f>INDEX(PT_DIFFERENTIATION_NUM_NTAR,MATCH(A2,PT_DIFFERENTIATION_NTAR_ID,0))</f>
      </c>
      <c r="T2" s="3764" t="s">
        <v>141</v>
      </c>
      <c r="U2" s="3819"/>
      <c r="V2" s="3820"/>
      <c r="W2" s="3821"/>
      <c r="X2" s="3821"/>
      <c r="Y2" s="3821"/>
      <c r="Z2" s="3821"/>
      <c r="AA2" s="3821"/>
      <c r="AB2" s="3821"/>
      <c r="AC2" s="3822"/>
      <c r="AD2" s="3820">
        <f>INDEX(PT_DIFFERENTIATION_NTAR,MATCH(A2,PT_DIFFERENTIATION_NTAR_ID,0))</f>
      </c>
      <c r="AE2" s="3821"/>
      <c r="AF2" s="3821"/>
      <c r="AG2" s="3821"/>
      <c r="AH2" s="3821"/>
      <c r="AI2" s="3821"/>
      <c r="AJ2" s="3821"/>
      <c r="AK2" s="3821"/>
      <c r="AL2" s="3822"/>
      <c r="AM2" s="3823" t="s">
        <v>411</v>
      </c>
      <c r="AP2" s="3479" t="str">
        <f>IF(T2="","",T2)</f>
        <v>Наименование тарифа</v>
      </c>
      <c r="AS2" s="3432">
        <v>0</v>
      </c>
    </row>
    <row customHeight="1" ht="21" hidden="1">
      <c r="E3" s="3824"/>
      <c r="F3" s="3817">
        <v>1</v>
      </c>
      <c r="Q3" s="3825"/>
      <c r="R3" s="3826"/>
      <c r="S3" s="3818">
        <f>INDEX(PT_DIFFERENTIATION_NUM_TER,MATCH(B3,PT_DIFFERENTIATION_TER_ID,0))</f>
      </c>
      <c r="T3" s="3827" t="s">
        <v>412</v>
      </c>
      <c r="U3" s="3819"/>
      <c r="V3" s="3820"/>
      <c r="W3" s="3821"/>
      <c r="X3" s="3821"/>
      <c r="Y3" s="3821"/>
      <c r="Z3" s="3821"/>
      <c r="AA3" s="3821"/>
      <c r="AB3" s="3821"/>
      <c r="AC3" s="3822"/>
      <c r="AD3" s="3820">
        <f>INDEX(PT_DIFFERENTIATION_TER,MATCH(B3,PT_DIFFERENTIATION_TER_ID,0))</f>
      </c>
      <c r="AE3" s="3821"/>
      <c r="AF3" s="3821"/>
      <c r="AG3" s="3821"/>
      <c r="AH3" s="3821"/>
      <c r="AI3" s="3821"/>
      <c r="AJ3" s="3821"/>
      <c r="AK3" s="3821"/>
      <c r="AL3" s="3822"/>
      <c r="AM3" s="3823" t="s">
        <v>413</v>
      </c>
      <c r="AP3" s="3479" t="str">
        <f>IF(T3="","",T3)</f>
        <v>Территория действия тарифа</v>
      </c>
      <c r="AS3" s="3432">
        <v>0</v>
      </c>
    </row>
    <row customHeight="1" ht="23.25" hidden="1">
      <c r="E4" s="3824"/>
      <c r="F4" s="3824"/>
      <c r="G4" s="3817">
        <v>1</v>
      </c>
      <c r="Q4" s="3825"/>
      <c r="R4" s="3826"/>
      <c r="S4" s="3818">
        <f>INDEX(PT_DIFFERENTIATION_NUM_CS,MATCH(C4,PT_DIFFERENTIATION_CS_ID,0))</f>
      </c>
      <c r="T4" s="3828" t="s">
        <v>414</v>
      </c>
      <c r="U4" s="3819"/>
      <c r="V4" s="3820"/>
      <c r="W4" s="3821"/>
      <c r="X4" s="3821"/>
      <c r="Y4" s="3821"/>
      <c r="Z4" s="3821"/>
      <c r="AA4" s="3821"/>
      <c r="AB4" s="3821"/>
      <c r="AC4" s="3822"/>
      <c r="AD4" s="3820">
        <f>INDEX(PT_DIFFERENTIATION_CS,MATCH(C4,PT_DIFFERENTIATION_CS_ID,0))</f>
      </c>
      <c r="AE4" s="3821"/>
      <c r="AF4" s="3821"/>
      <c r="AG4" s="3821"/>
      <c r="AH4" s="3821"/>
      <c r="AI4" s="3821"/>
      <c r="AJ4" s="3821"/>
      <c r="AK4" s="3821"/>
      <c r="AL4" s="3822"/>
      <c r="AM4" s="3823" t="s">
        <v>415</v>
      </c>
      <c r="AP4" s="3479" t="str">
        <f>IF(T4="","",T4)</f>
        <v>Наименование системы теплоснабжения </v>
      </c>
      <c r="AS4" s="3432">
        <v>0</v>
      </c>
    </row>
    <row customHeight="1" ht="21" hidden="1">
      <c r="E5" s="3824"/>
      <c r="F5" s="3824"/>
      <c r="G5" s="3824"/>
      <c r="H5" s="3817">
        <v>1</v>
      </c>
      <c r="Q5" s="3825"/>
      <c r="R5" s="3826"/>
      <c r="S5" s="3818">
        <f>INDEX(PT_DIFFERENTIATION_NUM_IST_TE,MATCH(D5,PT_DIFFERENTIATION_IST_TE_ID,0))</f>
      </c>
      <c r="T5" s="3829" t="s">
        <v>416</v>
      </c>
      <c r="U5" s="3819"/>
      <c r="V5" s="3820"/>
      <c r="W5" s="3821"/>
      <c r="X5" s="3821"/>
      <c r="Y5" s="3821"/>
      <c r="Z5" s="3821"/>
      <c r="AA5" s="3821"/>
      <c r="AB5" s="3821"/>
      <c r="AC5" s="3822"/>
      <c r="AD5" s="3820">
        <f>INDEX(PT_DIFFERENTIATION_IST_TE,MATCH(D5,PT_DIFFERENTIATION_IST_TE_ID,0))</f>
      </c>
      <c r="AE5" s="3821"/>
      <c r="AF5" s="3821"/>
      <c r="AG5" s="3821"/>
      <c r="AH5" s="3821"/>
      <c r="AI5" s="3821"/>
      <c r="AJ5" s="3821"/>
      <c r="AK5" s="3821"/>
      <c r="AL5" s="3822"/>
      <c r="AM5" s="3823" t="s">
        <v>417</v>
      </c>
      <c r="AP5" s="3479" t="str">
        <f>IF(T5="","",T5)</f>
        <v>Источник тепловой энергии  </v>
      </c>
      <c r="AS5" s="3432">
        <v>0</v>
      </c>
    </row>
    <row customHeight="1" ht="14.25" hidden="1">
      <c r="E6" s="3824"/>
      <c r="F6" s="3824"/>
      <c r="G6" s="3824"/>
      <c r="H6" s="3824"/>
      <c r="I6" s="3711">
        <f>S5&amp;".1"</f>
      </c>
      <c r="L6" s="3830" t="s">
        <v>418</v>
      </c>
      <c r="P6" s="3471">
        <v>1</v>
      </c>
      <c r="R6" s="3831"/>
      <c r="S6" s="3582"/>
      <c r="T6" s="3860"/>
      <c r="U6" s="3861"/>
      <c r="V6" s="3862"/>
      <c r="W6" s="3863"/>
      <c r="X6" s="3863"/>
      <c r="Y6" s="3863"/>
      <c r="Z6" s="3863"/>
      <c r="AA6" s="3863"/>
      <c r="AB6" s="3863"/>
      <c r="AC6" s="3864"/>
      <c r="AD6" s="3862"/>
      <c r="AE6" s="3863"/>
      <c r="AF6" s="3863"/>
      <c r="AG6" s="3863"/>
      <c r="AH6" s="3863"/>
      <c r="AI6" s="3863"/>
      <c r="AJ6" s="3863"/>
      <c r="AK6" s="3863"/>
      <c r="AL6" s="3864"/>
      <c r="AM6" s="3865"/>
      <c r="AP6" s="3479" t="str">
        <f>IF(T6="","",T6)</f>
        <v/>
      </c>
      <c r="AS6" s="3432">
        <v>0</v>
      </c>
    </row>
    <row customHeight="1" ht="21" hidden="1">
      <c r="E7" s="3824"/>
      <c r="F7" s="3824"/>
      <c r="G7" s="3824"/>
      <c r="H7" s="3824"/>
      <c r="I7" s="3835"/>
      <c r="J7" s="3711">
        <f>I6&amp;".1"</f>
      </c>
      <c r="L7" s="3830" t="s">
        <v>421</v>
      </c>
      <c r="Q7" s="3471">
        <v>1</v>
      </c>
      <c r="R7" s="3836"/>
      <c r="S7" s="3818">
        <f>$J7</f>
      </c>
      <c r="T7" s="3837" t="s">
        <v>422</v>
      </c>
      <c r="U7" s="3819"/>
      <c r="V7" s="3638"/>
      <c r="W7" s="3833"/>
      <c r="X7" s="3833"/>
      <c r="Y7" s="3833"/>
      <c r="Z7" s="3833"/>
      <c r="AA7" s="3833"/>
      <c r="AB7" s="3833"/>
      <c r="AC7" s="3834"/>
      <c r="AD7" s="3638"/>
      <c r="AE7" s="3833"/>
      <c r="AF7" s="3833"/>
      <c r="AG7" s="3833"/>
      <c r="AH7" s="3833"/>
      <c r="AI7" s="3833"/>
      <c r="AJ7" s="3833"/>
      <c r="AK7" s="3833"/>
      <c r="AL7" s="3834"/>
      <c r="AM7" s="3823" t="s">
        <v>423</v>
      </c>
      <c r="AP7" s="3479" t="str">
        <f>IF(T7="","",T7)</f>
        <v>Группа потребителей</v>
      </c>
      <c r="AS7" s="3432">
        <v>0</v>
      </c>
    </row>
    <row customHeight="1" ht="21" hidden="1">
      <c r="E8" s="3824"/>
      <c r="F8" s="3824"/>
      <c r="G8" s="3824"/>
      <c r="H8" s="3824"/>
      <c r="I8" s="3835"/>
      <c r="J8" s="3835"/>
      <c r="K8" s="3711">
        <f>J7&amp;".1"</f>
      </c>
      <c r="L8" s="3830" t="s">
        <v>424</v>
      </c>
      <c r="R8" s="3836">
        <v>1</v>
      </c>
      <c r="S8" s="3818">
        <f>$K8</f>
      </c>
      <c r="T8" s="3838"/>
      <c r="U8" s="3819"/>
      <c r="V8" s="838"/>
      <c r="W8" s="839"/>
      <c r="X8" s="838"/>
      <c r="Y8" s="840"/>
      <c r="Z8" s="572"/>
      <c r="AA8" s="210" t="s">
        <v>61</v>
      </c>
      <c r="AB8" s="572"/>
      <c r="AC8" s="210" t="s">
        <v>61</v>
      </c>
      <c r="AD8" s="838"/>
      <c r="AE8" s="839"/>
      <c r="AF8" s="838"/>
      <c r="AG8" s="840"/>
      <c r="AH8" s="572"/>
      <c r="AI8" s="210" t="s">
        <v>61</v>
      </c>
      <c r="AJ8" s="572"/>
      <c r="AK8" s="210" t="s">
        <v>61</v>
      </c>
      <c r="AL8" s="839"/>
      <c r="AM8" s="3839" t="s">
        <v>425</v>
      </c>
      <c r="AN8" s="3473">
        <f>STRCHECKDATE(V9:AL9)</f>
      </c>
      <c r="AP8" s="3479" t="str">
        <f>IF(T8="","",T8)</f>
        <v/>
      </c>
      <c r="AS8" s="3432">
        <v>0</v>
      </c>
    </row>
    <row customHeight="1" ht="14.25" hidden="1">
      <c r="E9" s="3824"/>
      <c r="F9" s="3824"/>
      <c r="G9" s="3824"/>
      <c r="H9" s="3824"/>
      <c r="I9" s="3835"/>
      <c r="J9" s="3835"/>
      <c r="K9" s="3711"/>
      <c r="R9" s="3836"/>
      <c r="S9" s="421"/>
      <c r="T9" s="3819"/>
      <c r="U9" s="3819"/>
      <c r="V9" s="839"/>
      <c r="W9" s="839"/>
      <c r="X9" s="839"/>
      <c r="Y9" s="842" t="str">
        <f>Z8&amp;"-"&amp;AB8</f>
        <v>-</v>
      </c>
      <c r="Z9" s="573"/>
      <c r="AA9" s="210"/>
      <c r="AB9" s="573"/>
      <c r="AC9" s="210"/>
      <c r="AD9" s="839"/>
      <c r="AE9" s="839"/>
      <c r="AF9" s="839"/>
      <c r="AG9" s="842" t="str">
        <f>AH8&amp;"-"&amp;AJ8</f>
        <v>-</v>
      </c>
      <c r="AH9" s="573"/>
      <c r="AI9" s="210"/>
      <c r="AJ9" s="573"/>
      <c r="AK9" s="210"/>
      <c r="AL9" s="839"/>
      <c r="AM9" s="3840"/>
      <c r="AP9" s="3479" t="str">
        <f>IF(T9="","",T9)</f>
        <v/>
      </c>
      <c r="AS9" s="3432">
        <v>0</v>
      </c>
    </row>
    <row customHeight="1" ht="15" hidden="1">
      <c r="E10" s="3824"/>
      <c r="F10" s="3824"/>
      <c r="G10" s="3824"/>
      <c r="H10" s="3824"/>
      <c r="I10" s="3835"/>
      <c r="J10" s="3711"/>
      <c r="R10" s="3831"/>
      <c r="S10" s="844"/>
      <c r="T10" s="848" t="s">
        <v>426</v>
      </c>
      <c r="U10" s="200"/>
      <c r="V10" s="200"/>
      <c r="W10" s="200"/>
      <c r="X10" s="200"/>
      <c r="Y10" s="200"/>
      <c r="Z10" s="200"/>
      <c r="AA10" s="200"/>
      <c r="AB10" s="200"/>
      <c r="AC10" s="200"/>
      <c r="AD10" s="200"/>
      <c r="AE10" s="200"/>
      <c r="AF10" s="200"/>
      <c r="AG10" s="200"/>
      <c r="AH10" s="200"/>
      <c r="AI10" s="200"/>
      <c r="AJ10" s="200"/>
      <c r="AK10" s="200"/>
      <c r="AL10" s="846"/>
      <c r="AM10" s="3841"/>
      <c r="AP10" s="3479" t="str">
        <f>IF(T10="","",T10)</f>
        <v>Добавить вид теплоносителя (параметры теплоносителя)</v>
      </c>
      <c r="AS10" s="3432">
        <v>0</v>
      </c>
    </row>
    <row customHeight="1" ht="11.25" hidden="1">
      <c r="E11" s="3824"/>
      <c r="F11" s="3824"/>
      <c r="G11" s="3824"/>
      <c r="H11" s="3824"/>
      <c r="I11" s="3711"/>
      <c r="R11" s="3831"/>
      <c r="S11" s="844"/>
      <c r="T11" s="851" t="s">
        <v>427</v>
      </c>
      <c r="U11" s="200"/>
      <c r="V11" s="200"/>
      <c r="W11" s="200"/>
      <c r="X11" s="200"/>
      <c r="Y11" s="200"/>
      <c r="Z11" s="200"/>
      <c r="AA11" s="200"/>
      <c r="AB11" s="200"/>
      <c r="AC11" s="849"/>
      <c r="AD11" s="200"/>
      <c r="AE11" s="200"/>
      <c r="AF11" s="200"/>
      <c r="AG11" s="200"/>
      <c r="AH11" s="200"/>
      <c r="AI11" s="200"/>
      <c r="AJ11" s="200"/>
      <c r="AK11" s="849"/>
      <c r="AL11" s="200"/>
      <c r="AM11" s="850"/>
      <c r="AP11" s="3479" t="str">
        <f>IF(T11="","",T11)</f>
        <v>Добавить группу потребителей</v>
      </c>
      <c r="AS11" s="3432">
        <v>0</v>
      </c>
    </row>
    <row customHeight="1" ht="14.25" hidden="1">
      <c r="E12" s="3824"/>
      <c r="F12" s="3824"/>
      <c r="G12" s="3824"/>
      <c r="H12" s="3817"/>
      <c r="R12" s="816"/>
      <c r="S12" s="894"/>
      <c r="T12" s="895"/>
      <c r="U12" s="896"/>
      <c r="V12" s="896"/>
      <c r="W12" s="896"/>
      <c r="X12" s="896"/>
      <c r="Y12" s="896"/>
      <c r="Z12" s="896"/>
      <c r="AA12" s="896"/>
      <c r="AB12" s="896"/>
      <c r="AC12" s="896"/>
      <c r="AD12" s="896"/>
      <c r="AE12" s="896"/>
      <c r="AF12" s="896"/>
      <c r="AG12" s="896"/>
      <c r="AH12" s="896"/>
      <c r="AI12" s="896"/>
      <c r="AJ12" s="896"/>
      <c r="AK12" s="896"/>
      <c r="AL12" s="896"/>
      <c r="AM12" s="897"/>
      <c r="AP12" s="3479" t="str">
        <f>IF(T12="","",T12)</f>
        <v/>
      </c>
      <c r="AS12" s="3432">
        <v>0</v>
      </c>
    </row>
    <row customHeight="1" ht="14.25" hidden="1">
      <c r="E13" s="3824"/>
      <c r="F13" s="3824"/>
      <c r="G13" s="3817"/>
      <c r="S13" s="852"/>
      <c r="T13" s="853" t="s">
        <v>429</v>
      </c>
      <c r="U13" s="854"/>
      <c r="V13" s="854"/>
      <c r="W13" s="854"/>
      <c r="X13" s="854"/>
      <c r="Y13" s="854"/>
      <c r="Z13" s="854"/>
      <c r="AA13" s="854"/>
      <c r="AB13" s="854"/>
      <c r="AC13" s="854"/>
      <c r="AD13" s="854"/>
      <c r="AE13" s="854"/>
      <c r="AF13" s="854"/>
      <c r="AG13" s="854"/>
      <c r="AH13" s="854"/>
      <c r="AI13" s="854"/>
      <c r="AJ13" s="854"/>
      <c r="AK13" s="854"/>
      <c r="AL13" s="854"/>
      <c r="AM13" s="854"/>
      <c r="AP13" s="3479" t="str">
        <f>IF(T13="","",T13)</f>
        <v>Добавить источник для дифференциации</v>
      </c>
      <c r="AS13" s="3473">
        <v>0</v>
      </c>
    </row>
    <row customHeight="1" ht="14.25" hidden="1">
      <c r="E14" s="3824"/>
      <c r="F14" s="3817"/>
      <c r="T14" s="855" t="s">
        <v>430</v>
      </c>
      <c r="AP14" s="3479" t="str">
        <f>IF(T14="","",T14)</f>
        <v>Добавить централизованную систему для дифференциации</v>
      </c>
      <c r="AS14" s="3473">
        <v>0</v>
      </c>
    </row>
    <row customHeight="1" ht="14.25" hidden="1">
      <c r="E15" s="3817"/>
      <c r="T15" s="856" t="s">
        <v>431</v>
      </c>
      <c r="AP15" s="3479" t="str">
        <f>IF(T15="","",T15)</f>
        <v>Добавить территорию для дифференциации</v>
      </c>
      <c r="AS15" s="3473">
        <v>0</v>
      </c>
    </row>
    <row customHeight="1" ht="14.25" hidden="1">
      <c r="AS16" s="3432">
        <v>0</v>
      </c>
    </row>
    <row customHeight="1" ht="14.25" hidden="1">
      <c r="AD17" s="719"/>
      <c r="AE17" s="719"/>
      <c r="AF17" s="719"/>
      <c r="AG17" s="857"/>
      <c r="AH17" s="858"/>
      <c r="AI17" s="616" t="s">
        <v>61</v>
      </c>
      <c r="AJ17" s="858"/>
      <c r="AK17" s="616" t="s">
        <v>61</v>
      </c>
      <c r="AS17" s="3432">
        <v>0</v>
      </c>
    </row>
    <row customHeight="1" ht="14.25" hidden="1">
      <c r="AD18" s="719"/>
      <c r="AE18" s="719"/>
      <c r="AF18" s="719"/>
      <c r="AG18" s="842" t="str">
        <f>AH17&amp;"-"&amp;AJ17</f>
        <v>-</v>
      </c>
      <c r="AH18" s="616"/>
      <c r="AI18" s="616"/>
      <c r="AJ18" s="616"/>
      <c r="AK18" s="616"/>
      <c r="AS18" s="3432">
        <v>0</v>
      </c>
    </row>
    <row customHeight="1" ht="14.25" hidden="1">
      <c r="AS19" s="3432">
        <v>0</v>
      </c>
    </row>
    <row customHeight="1" ht="22.5" hidden="1">
      <c r="O20" s="859" t="s">
        <v>432</v>
      </c>
      <c r="Z20" s="859"/>
      <c r="AB20" s="859"/>
      <c r="AH20" s="859"/>
      <c r="AJ20" s="859"/>
      <c r="AS20" s="3449">
        <v>0</v>
      </c>
    </row>
    <row customHeight="1" ht="14.25" hidden="1">
      <c r="AS21" s="3449">
        <v>0</v>
      </c>
    </row>
    <row customHeight="1" ht="14.25" hidden="1">
      <c r="O22" s="3830" t="s">
        <v>433</v>
      </c>
      <c r="T22" s="3449" t="s">
        <v>434</v>
      </c>
      <c r="AA22" s="3511" t="s">
        <v>435</v>
      </c>
      <c r="AC22" s="3511" t="s">
        <v>436</v>
      </c>
      <c r="AD22" s="3449" t="s">
        <v>434</v>
      </c>
      <c r="AI22" s="3511" t="s">
        <v>437</v>
      </c>
      <c r="AK22" s="3511" t="s">
        <v>436</v>
      </c>
      <c r="AS22" s="3449">
        <v>0</v>
      </c>
    </row>
    <row customHeight="1" ht="14.25" hidden="1">
      <c r="AS23" s="3432">
        <v>0</v>
      </c>
    </row>
    <row customHeight="1" ht="14.25" hidden="1">
      <c r="AS24" s="3432">
        <v>0</v>
      </c>
    </row>
    <row customHeight="1" ht="14.699999999999998">
      <c r="Q25" s="3719"/>
      <c r="R25" s="3719"/>
      <c r="S25" s="3842"/>
      <c r="T25" s="3450"/>
      <c r="U25" s="3450"/>
      <c r="AS25" s="3432">
        <v>14</v>
      </c>
    </row>
    <row customHeight="1" ht="53.54999999999999">
      <c r="Q26" s="3719"/>
      <c r="R26" s="3719"/>
      <c r="S26" s="3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646"/>
      <c r="U26" s="3646"/>
      <c r="V26" s="3646"/>
      <c r="W26" s="3646"/>
      <c r="X26" s="3646"/>
      <c r="Y26" s="3646"/>
      <c r="Z26" s="3646"/>
      <c r="AA26" s="3646"/>
      <c r="AB26" s="3646"/>
      <c r="AC26" s="3646"/>
      <c r="AD26" s="3646"/>
      <c r="AE26" s="3646"/>
      <c r="AF26" s="3646"/>
      <c r="AG26" s="3646"/>
      <c r="AH26" s="3646"/>
      <c r="AI26" s="3646"/>
      <c r="AJ26" s="3646"/>
      <c r="AS26" s="3432">
        <v>51</v>
      </c>
    </row>
    <row customHeight="1" ht="14.699999999999998">
      <c r="Q27" s="3719"/>
      <c r="R27" s="3719"/>
      <c r="S27" s="3554" t="str">
        <f>IF(org=0,"Не определено",org)</f>
        <v>ООО "ТеплоЭлектроГенерирующая Компания"</v>
      </c>
      <c r="T27" s="3554"/>
      <c r="U27" s="3554"/>
      <c r="V27" s="3554"/>
      <c r="W27" s="3554"/>
      <c r="X27" s="3554"/>
      <c r="Y27" s="3554"/>
      <c r="Z27" s="3554"/>
      <c r="AA27" s="3554"/>
      <c r="AB27" s="3554"/>
      <c r="AC27" s="3554"/>
      <c r="AD27" s="3554"/>
      <c r="AE27" s="3554"/>
      <c r="AF27" s="3554"/>
      <c r="AG27" s="3554"/>
      <c r="AH27" s="3554"/>
      <c r="AI27" s="3554"/>
      <c r="AJ27" s="3554"/>
      <c r="AS27" s="3432">
        <v>14</v>
      </c>
    </row>
    <row customHeight="1" ht="14.25" hidden="1">
      <c r="Q28" s="3719"/>
      <c r="R28" s="3719"/>
      <c r="S28" s="3842"/>
      <c r="T28" s="3450"/>
      <c r="U28" s="3450"/>
      <c r="V28" s="3804"/>
      <c r="W28" s="3804"/>
      <c r="X28" s="3804"/>
      <c r="Y28" s="3804"/>
      <c r="Z28" s="3804"/>
      <c r="AA28" s="3804"/>
      <c r="AB28" s="3804"/>
      <c r="AC28" s="3804"/>
      <c r="AD28" s="3804"/>
      <c r="AE28" s="3804"/>
      <c r="AF28" s="3804"/>
      <c r="AG28" s="3804"/>
      <c r="AH28" s="3804"/>
      <c r="AI28" s="3804"/>
      <c r="AJ28" s="3804"/>
      <c r="AK28" s="3804"/>
      <c r="AS28" s="3432">
        <v>0</v>
      </c>
    </row>
    <row customHeight="1" ht="25.5" hidden="1">
      <c r="S29" s="3843" t="s">
        <v>41</v>
      </c>
      <c r="T29" s="3843"/>
      <c r="U29" s="3844"/>
      <c r="V29" s="3806" t="str">
        <f>IF(TITLE_NAME_OR_PR_CHANGE="",IF(TITLE_NAME_OR_PR="","",TITLE_NAME_OR_PR),TITLE_NAME_OR_PR_CHANGE)</f>
        <v/>
      </c>
      <c r="W29" s="3806"/>
      <c r="X29" s="3806"/>
      <c r="Y29" s="3806"/>
      <c r="Z29" s="3806"/>
      <c r="AA29" s="3806"/>
      <c r="AB29" s="3806"/>
      <c r="AD29" s="3806" t="str">
        <f>IF(TITLE_NAME_OR_PR_CHANGE="",IF(TITLE_NAME_OR_PR="","",TITLE_NAME_OR_PR),TITLE_NAME_OR_PR_CHANGE)</f>
        <v/>
      </c>
      <c r="AE29" s="3806"/>
      <c r="AF29" s="3806"/>
      <c r="AG29" s="3806"/>
      <c r="AH29" s="3806"/>
      <c r="AI29" s="3806"/>
      <c r="AJ29" s="3806"/>
      <c r="AS29" s="3489">
        <v>0</v>
      </c>
    </row>
    <row customHeight="1" ht="18.75" hidden="1">
      <c r="S30" s="3843" t="s">
        <v>438</v>
      </c>
      <c r="T30" s="3843"/>
      <c r="U30" s="3844"/>
      <c r="V30" s="795" t="str">
        <f>IF(TITLE_DATE_PR_CHANGE="",IF(TITLE_DATE_PR="","",TITLE_DATE_PR),TITLE_DATE_PR_CHANGE)</f>
        <v/>
      </c>
      <c r="W30" s="795"/>
      <c r="X30" s="795"/>
      <c r="Y30" s="795"/>
      <c r="Z30" s="795"/>
      <c r="AA30" s="795"/>
      <c r="AB30" s="795"/>
      <c r="AD30" s="795" t="str">
        <f>IF(TITLE_DATE_PR_CHANGE="",IF(TITLE_DATE_PR="","",TITLE_DATE_PR),TITLE_DATE_PR_CHANGE)</f>
        <v/>
      </c>
      <c r="AE30" s="795"/>
      <c r="AF30" s="795"/>
      <c r="AG30" s="795"/>
      <c r="AH30" s="795"/>
      <c r="AI30" s="795"/>
      <c r="AJ30" s="795"/>
      <c r="AS30" s="3489">
        <v>0</v>
      </c>
    </row>
    <row customHeight="1" ht="18.75" hidden="1">
      <c r="S31" s="3843" t="s">
        <v>439</v>
      </c>
      <c r="T31" s="3843"/>
      <c r="U31" s="3844"/>
      <c r="V31" s="3806" t="str">
        <f>IF(TITLE_NUMBER_PR_CHANGE="",IF(TITLE_NUMBER_PR="","",TITLE_NUMBER_PR),TITLE_NUMBER_PR_CHANGE)</f>
        <v/>
      </c>
      <c r="W31" s="3806"/>
      <c r="X31" s="3806"/>
      <c r="Y31" s="3806"/>
      <c r="Z31" s="3806"/>
      <c r="AA31" s="3806"/>
      <c r="AB31" s="3806"/>
      <c r="AD31" s="3806" t="str">
        <f>IF(TITLE_NUMBER_PR_CHANGE="",IF(TITLE_NUMBER_PR="","",TITLE_NUMBER_PR),TITLE_NUMBER_PR_CHANGE)</f>
        <v/>
      </c>
      <c r="AE31" s="3806"/>
      <c r="AF31" s="3806"/>
      <c r="AG31" s="3806"/>
      <c r="AH31" s="3806"/>
      <c r="AI31" s="3806"/>
      <c r="AJ31" s="3806"/>
      <c r="AS31" s="3489">
        <v>0</v>
      </c>
    </row>
    <row customHeight="1" ht="18.75" hidden="1">
      <c r="S32" s="3843" t="s">
        <v>42</v>
      </c>
      <c r="T32" s="3843"/>
      <c r="U32" s="3844"/>
      <c r="V32" s="3806" t="str">
        <f>IF(TITLE_IST_PUB_CHANGE="",IF(TITLE_IST_PUB="","",TITLE_IST_PUB),TITLE_IST_PUB_CHANGE)</f>
        <v/>
      </c>
      <c r="W32" s="3806"/>
      <c r="X32" s="3806"/>
      <c r="Y32" s="3806"/>
      <c r="Z32" s="3806"/>
      <c r="AA32" s="3806"/>
      <c r="AB32" s="3806"/>
      <c r="AD32" s="3806" t="str">
        <f>IF(TITLE_IST_PUB_CHANGE="",IF(TITLE_IST_PUB="","",TITLE_IST_PUB),TITLE_IST_PUB_CHANGE)</f>
        <v/>
      </c>
      <c r="AE32" s="3806"/>
      <c r="AF32" s="3806"/>
      <c r="AG32" s="3806"/>
      <c r="AH32" s="3806"/>
      <c r="AI32" s="3806"/>
      <c r="AJ32" s="3806"/>
      <c r="AS32" s="3489">
        <v>0</v>
      </c>
    </row>
    <row customHeight="1" ht="14.25" hidden="1">
      <c r="Q33" s="3719"/>
      <c r="R33" s="3719"/>
      <c r="S33" s="3842"/>
      <c r="T33" s="3450"/>
      <c r="U33" s="3450"/>
      <c r="V33" s="3804"/>
      <c r="W33" s="3804"/>
      <c r="X33" s="3804"/>
      <c r="Y33" s="3804"/>
      <c r="Z33" s="3804"/>
      <c r="AA33" s="3804"/>
      <c r="AB33" s="3804"/>
      <c r="AC33" s="3804"/>
      <c r="AD33" s="3804"/>
      <c r="AE33" s="3804"/>
      <c r="AF33" s="3804"/>
      <c r="AG33" s="3804"/>
      <c r="AH33" s="3804"/>
      <c r="AI33" s="3804"/>
      <c r="AJ33" s="3804"/>
      <c r="AK33" s="3804"/>
      <c r="AS33" s="3432">
        <v>0</v>
      </c>
    </row>
    <row customHeight="1" ht="18.75" hidden="1">
      <c r="S34" s="3843" t="s">
        <v>440</v>
      </c>
      <c r="T34" s="3843"/>
      <c r="U34" s="3844"/>
      <c r="V34" s="795" t="str">
        <f>IF(TITLE_DATE_PR_CHANGE="",IF(TITLE_DATE_PR="","",TITLE_DATE_PR),TITLE_DATE_PR_CHANGE)</f>
        <v/>
      </c>
      <c r="W34" s="795"/>
      <c r="X34" s="795"/>
      <c r="Y34" s="795"/>
      <c r="Z34" s="795"/>
      <c r="AA34" s="795"/>
      <c r="AB34" s="795"/>
      <c r="AD34" s="795" t="str">
        <f>IF(TITLE_DATE_PR_CHANGE="",IF(TITLE_DATE_PR="","",TITLE_DATE_PR),TITLE_DATE_PR_CHANGE)</f>
        <v/>
      </c>
      <c r="AE34" s="795"/>
      <c r="AF34" s="795"/>
      <c r="AG34" s="795"/>
      <c r="AH34" s="795"/>
      <c r="AI34" s="795"/>
      <c r="AJ34" s="795"/>
      <c r="AS34" s="3489">
        <v>0</v>
      </c>
    </row>
    <row customHeight="1" ht="25.5" hidden="1">
      <c r="S35" s="3843" t="s">
        <v>441</v>
      </c>
      <c r="T35" s="3843"/>
      <c r="U35" s="3844"/>
      <c r="V35" s="3806" t="str">
        <f>IF(TITLE_NUMBER_PR_CHANGE="",IF(TITLE_NUMBER_PR="","",TITLE_NUMBER_PR),TITLE_NUMBER_PR_CHANGE)</f>
        <v/>
      </c>
      <c r="W35" s="3806"/>
      <c r="X35" s="3806"/>
      <c r="Y35" s="3806"/>
      <c r="Z35" s="3806"/>
      <c r="AA35" s="3806"/>
      <c r="AB35" s="3806"/>
      <c r="AD35" s="3806" t="str">
        <f>IF(TITLE_NUMBER_PR_CHANGE="",IF(TITLE_NUMBER_PR="","",TITLE_NUMBER_PR),TITLE_NUMBER_PR_CHANGE)</f>
        <v/>
      </c>
      <c r="AE35" s="3806"/>
      <c r="AF35" s="3806"/>
      <c r="AG35" s="3806"/>
      <c r="AH35" s="3806"/>
      <c r="AI35" s="3806"/>
      <c r="AJ35" s="3806"/>
      <c r="AS35" s="3489">
        <v>0</v>
      </c>
    </row>
    <row customHeight="1" ht="0">
      <c r="AC36" s="3473" t="s">
        <v>442</v>
      </c>
      <c r="AK36" s="3473" t="s">
        <v>442</v>
      </c>
      <c r="AS36" s="3489">
        <v>0</v>
      </c>
    </row>
    <row customHeight="1" ht="14.699999999999998">
      <c r="Q37" s="3719"/>
      <c r="R37" s="3719"/>
      <c r="S37" s="3842"/>
      <c r="T37" s="3450"/>
      <c r="U37" s="3845"/>
      <c r="V37" s="3846"/>
      <c r="W37" s="3846"/>
      <c r="X37" s="3846"/>
      <c r="Y37" s="3846"/>
      <c r="Z37" s="3846"/>
      <c r="AA37" s="3846"/>
      <c r="AB37" s="3846"/>
      <c r="AC37" s="3846"/>
      <c r="AD37" s="3846"/>
      <c r="AE37" s="3846"/>
      <c r="AF37" s="3846"/>
      <c r="AG37" s="3846"/>
      <c r="AH37" s="3846"/>
      <c r="AI37" s="3846"/>
      <c r="AJ37" s="3846"/>
      <c r="AK37" s="3846"/>
      <c r="AS37" s="3432">
        <v>14</v>
      </c>
    </row>
    <row customHeight="1" ht="14.699999999999998">
      <c r="Q38" s="3719"/>
      <c r="R38" s="3719"/>
      <c r="S38" s="3480" t="s">
        <v>315</v>
      </c>
      <c r="T38" s="3480"/>
      <c r="U38" s="3480"/>
      <c r="V38" s="3480"/>
      <c r="W38" s="3480"/>
      <c r="X38" s="3480"/>
      <c r="Y38" s="3480"/>
      <c r="Z38" s="3480"/>
      <c r="AA38" s="3480"/>
      <c r="AB38" s="3480"/>
      <c r="AC38" s="3480"/>
      <c r="AD38" s="3480"/>
      <c r="AE38" s="3480"/>
      <c r="AF38" s="3480"/>
      <c r="AG38" s="3480"/>
      <c r="AH38" s="3480"/>
      <c r="AI38" s="3480"/>
      <c r="AJ38" s="3480"/>
      <c r="AK38" s="3480"/>
      <c r="AL38" s="3480"/>
      <c r="AM38" s="3480" t="s">
        <v>316</v>
      </c>
      <c r="AS38" s="3432">
        <v>14</v>
      </c>
    </row>
    <row customHeight="1" ht="14.699999999999998">
      <c r="Q39" s="3719"/>
      <c r="R39" s="3719"/>
      <c r="S39" s="3818" t="s">
        <v>86</v>
      </c>
      <c r="T39" s="3579" t="s">
        <v>443</v>
      </c>
      <c r="U39" s="3793"/>
      <c r="V39" s="3847" t="s">
        <v>444</v>
      </c>
      <c r="W39" s="3848"/>
      <c r="X39" s="3848"/>
      <c r="Y39" s="3848"/>
      <c r="Z39" s="3848"/>
      <c r="AA39" s="3848"/>
      <c r="AB39" s="3849"/>
      <c r="AC39" s="3807" t="s">
        <v>445</v>
      </c>
      <c r="AD39" s="3847" t="s">
        <v>444</v>
      </c>
      <c r="AE39" s="3848"/>
      <c r="AF39" s="3848"/>
      <c r="AG39" s="3848"/>
      <c r="AH39" s="3848"/>
      <c r="AI39" s="3848"/>
      <c r="AJ39" s="3849"/>
      <c r="AK39" s="3807" t="s">
        <v>446</v>
      </c>
      <c r="AL39" s="868" t="s">
        <v>447</v>
      </c>
      <c r="AM39" s="3480"/>
      <c r="AS39" s="3432">
        <v>14</v>
      </c>
    </row>
    <row customHeight="1" ht="35.699999999999996">
      <c r="Q40" s="3719"/>
      <c r="R40" s="3719"/>
      <c r="S40" s="3818"/>
      <c r="T40" s="3579"/>
      <c r="U40" s="3798"/>
      <c r="V40" s="3558" t="s">
        <v>448</v>
      </c>
      <c r="W40" s="3850"/>
      <c r="X40" s="3437" t="s">
        <v>450</v>
      </c>
      <c r="Y40" s="3436"/>
      <c r="Z40" s="3437" t="s">
        <v>451</v>
      </c>
      <c r="AA40" s="3477"/>
      <c r="AB40" s="3436"/>
      <c r="AC40" s="3851"/>
      <c r="AD40" s="3558" t="s">
        <v>465</v>
      </c>
      <c r="AE40" s="3850"/>
      <c r="AF40" s="3437" t="s">
        <v>450</v>
      </c>
      <c r="AG40" s="3436"/>
      <c r="AH40" s="3437" t="s">
        <v>451</v>
      </c>
      <c r="AI40" s="3477"/>
      <c r="AJ40" s="3436"/>
      <c r="AK40" s="3851"/>
      <c r="AL40" s="871"/>
      <c r="AM40" s="3480"/>
      <c r="AS40" s="3432">
        <v>34</v>
      </c>
    </row>
    <row customHeight="1" ht="35.699999999999996">
      <c r="B41" s="3511" t="s">
        <v>153</v>
      </c>
      <c r="C41" s="3511" t="s">
        <v>154</v>
      </c>
      <c r="D41" s="3511" t="s">
        <v>155</v>
      </c>
      <c r="E41" s="3830" t="s">
        <v>452</v>
      </c>
      <c r="F41" s="3830" t="s">
        <v>453</v>
      </c>
      <c r="G41" s="3830" t="s">
        <v>454</v>
      </c>
      <c r="H41" s="3830" t="s">
        <v>455</v>
      </c>
      <c r="I41" s="3830" t="s">
        <v>456</v>
      </c>
      <c r="J41" s="3830" t="s">
        <v>457</v>
      </c>
      <c r="K41" s="3830" t="s">
        <v>458</v>
      </c>
      <c r="L41" s="3830" t="s">
        <v>433</v>
      </c>
      <c r="Q41" s="3719"/>
      <c r="R41" s="3719"/>
      <c r="S41" s="3818"/>
      <c r="T41" s="3579"/>
      <c r="U41" s="3852"/>
      <c r="V41" s="3483"/>
      <c r="W41" s="3710"/>
      <c r="X41" s="3525" t="s">
        <v>459</v>
      </c>
      <c r="Y41" s="3525" t="s">
        <v>460</v>
      </c>
      <c r="Z41" s="3525" t="s">
        <v>461</v>
      </c>
      <c r="AA41" s="3626" t="s">
        <v>462</v>
      </c>
      <c r="AB41" s="3628"/>
      <c r="AC41" s="3810"/>
      <c r="AD41" s="3483"/>
      <c r="AE41" s="3710"/>
      <c r="AF41" s="3525" t="s">
        <v>459</v>
      </c>
      <c r="AG41" s="3525" t="s">
        <v>460</v>
      </c>
      <c r="AH41" s="3525" t="s">
        <v>461</v>
      </c>
      <c r="AI41" s="3626" t="s">
        <v>462</v>
      </c>
      <c r="AJ41" s="3628"/>
      <c r="AK41" s="3810"/>
      <c r="AL41" s="873"/>
      <c r="AM41" s="3480"/>
      <c r="AS41" s="3432">
        <v>34</v>
      </c>
    </row>
    <row customHeight="1" ht="11.25" hidden="1">
      <c r="Q42" s="3853"/>
      <c r="R42" s="3854">
        <v>1</v>
      </c>
      <c r="S42" s="876" t="s">
        <v>107</v>
      </c>
      <c r="T42" s="877" t="s">
        <v>108</v>
      </c>
      <c r="U42" s="3855" t="str">
        <f>OFFSET(U42,0,-1)</f>
        <v>2</v>
      </c>
      <c r="V42" s="3856">
        <f>OFFSET(V42,0,-1)+1</f>
        <v>3</v>
      </c>
      <c r="W42" s="3856"/>
      <c r="X42" s="3856">
        <f>OFFSET(X42,0,-1)+1</f>
        <v>1</v>
      </c>
      <c r="Y42" s="3856">
        <f>OFFSET(Y42,0,-1)+1</f>
        <v>2</v>
      </c>
      <c r="Z42" s="3856">
        <f>OFFSET(Z42,0,-1)+1</f>
        <v>3</v>
      </c>
      <c r="AA42" s="3856">
        <f>OFFSET(AA42,0,-1)+1</f>
        <v>4</v>
      </c>
      <c r="AB42" s="3856"/>
      <c r="AC42" s="3856">
        <f>OFFSET(AC42,0,-2)+1</f>
        <v>5</v>
      </c>
      <c r="AD42" s="3856">
        <f>OFFSET(AD42,0,-1)+1</f>
        <v>6</v>
      </c>
      <c r="AE42" s="3856"/>
      <c r="AF42" s="3856">
        <f>OFFSET(AF42,0,-1)+1</f>
        <v>1</v>
      </c>
      <c r="AG42" s="3856">
        <f>OFFSET(AG42,0,-1)+1</f>
        <v>2</v>
      </c>
      <c r="AH42" s="3856">
        <f>OFFSET(AH42,0,-1)+1</f>
        <v>3</v>
      </c>
      <c r="AI42" s="3856">
        <f>OFFSET(AI42,0,-1)+1</f>
        <v>4</v>
      </c>
      <c r="AJ42" s="3856"/>
      <c r="AK42" s="3856">
        <f>OFFSET(AK42,0,-2)+1</f>
        <v>5</v>
      </c>
      <c r="AL42" s="3855">
        <f>OFFSET(AL42,0,-1)</f>
        <v>5</v>
      </c>
      <c r="AM42" s="3856">
        <f>OFFSET(AM42,0,-1)+1</f>
        <v>6</v>
      </c>
      <c r="AS42" s="3637">
        <v>0</v>
      </c>
    </row>
    <row customHeight="1" ht="22.049999999999997">
      <c r="A43" s="3857" t="s">
        <v>203</v>
      </c>
      <c r="E43" s="3817">
        <v>1</v>
      </c>
      <c r="R43" s="816"/>
      <c r="S43" s="3818">
        <f>INDEX(PT_DIFFERENTIATION_NUM_NTAR,MATCH(A43,PT_DIFFERENTIATION_NTAR_ID,0))</f>
        <v>0</v>
      </c>
      <c r="T43" s="3764" t="s">
        <v>141</v>
      </c>
      <c r="U43" s="3819"/>
      <c r="V43" s="3820"/>
      <c r="W43" s="3821"/>
      <c r="X43" s="3821"/>
      <c r="Y43" s="3821"/>
      <c r="Z43" s="3821"/>
      <c r="AA43" s="3821"/>
      <c r="AB43" s="3821"/>
      <c r="AC43" s="3822"/>
      <c r="AD43" s="3820" t="str">
        <f>INDEX(PT_DIFFERENTIATION_NTAR,MATCH(A43,PT_DIFFERENTIATION_NTAR_ID,0))</f>
        <v/>
      </c>
      <c r="AE43" s="3821"/>
      <c r="AF43" s="3821"/>
      <c r="AG43" s="3821"/>
      <c r="AH43" s="3821"/>
      <c r="AI43" s="3821"/>
      <c r="AJ43" s="3821"/>
      <c r="AK43" s="3821"/>
      <c r="AL43" s="3822"/>
      <c r="AM43" s="38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3479" t="str">
        <f>IF(T43="","",T43)</f>
        <v>Наименование тарифа</v>
      </c>
      <c r="AS43" s="3432">
        <v>21</v>
      </c>
    </row>
    <row customHeight="1" ht="22.049999999999997">
      <c r="A44" s="3857" t="s">
        <v>203</v>
      </c>
      <c r="B44" s="3857" t="s">
        <v>204</v>
      </c>
      <c r="E44" s="3824"/>
      <c r="F44" s="3817">
        <v>1</v>
      </c>
      <c r="Q44" s="3825"/>
      <c r="R44" s="3826"/>
      <c r="S44" s="3818" t="str">
        <f>INDEX(PT_DIFFERENTIATION_NUM_TER,MATCH(B44,PT_DIFFERENTIATION_TER_ID,0))</f>
        <v>.</v>
      </c>
      <c r="T44" s="3827" t="s">
        <v>412</v>
      </c>
      <c r="U44" s="3819"/>
      <c r="V44" s="3820"/>
      <c r="W44" s="3821"/>
      <c r="X44" s="3821"/>
      <c r="Y44" s="3821"/>
      <c r="Z44" s="3821"/>
      <c r="AA44" s="3821"/>
      <c r="AB44" s="3821"/>
      <c r="AC44" s="3822"/>
      <c r="AD44" s="3820" t="str">
        <f>INDEX(PT_DIFFERENTIATION_TER,MATCH(B44,PT_DIFFERENTIATION_TER_ID,0))</f>
        <v/>
      </c>
      <c r="AE44" s="3821"/>
      <c r="AF44" s="3821"/>
      <c r="AG44" s="3821"/>
      <c r="AH44" s="3821"/>
      <c r="AI44" s="3821"/>
      <c r="AJ44" s="3821"/>
      <c r="AK44" s="3821"/>
      <c r="AL44" s="3822"/>
      <c r="AM44" s="3823" t="s">
        <v>413</v>
      </c>
      <c r="AP44" s="3479" t="str">
        <f>IF(T44="","",T44)</f>
        <v>Территория действия тарифа</v>
      </c>
      <c r="AS44" s="3432">
        <v>21</v>
      </c>
    </row>
    <row customHeight="1" ht="24">
      <c r="A45" s="3857" t="s">
        <v>203</v>
      </c>
      <c r="B45" s="3857" t="s">
        <v>204</v>
      </c>
      <c r="C45" s="3857" t="s">
        <v>205</v>
      </c>
      <c r="E45" s="3824"/>
      <c r="F45" s="3824"/>
      <c r="G45" s="3817">
        <v>1</v>
      </c>
      <c r="Q45" s="3825"/>
      <c r="R45" s="3826"/>
      <c r="S45" s="3818" t="str">
        <f>INDEX(PT_DIFFERENTIATION_NUM_CS,MATCH(C45,PT_DIFFERENTIATION_CS_ID,0))</f>
        <v>..</v>
      </c>
      <c r="T45" s="3828" t="s">
        <v>414</v>
      </c>
      <c r="U45" s="3819"/>
      <c r="V45" s="3820"/>
      <c r="W45" s="3821"/>
      <c r="X45" s="3821"/>
      <c r="Y45" s="3821"/>
      <c r="Z45" s="3821"/>
      <c r="AA45" s="3821"/>
      <c r="AB45" s="3821"/>
      <c r="AC45" s="3822"/>
      <c r="AD45" s="3820" t="str">
        <f>INDEX(PT_DIFFERENTIATION_CS,MATCH(C45,PT_DIFFERENTIATION_CS_ID,0))</f>
        <v/>
      </c>
      <c r="AE45" s="3821"/>
      <c r="AF45" s="3821"/>
      <c r="AG45" s="3821"/>
      <c r="AH45" s="3821"/>
      <c r="AI45" s="3821"/>
      <c r="AJ45" s="3821"/>
      <c r="AK45" s="3821"/>
      <c r="AL45" s="3822"/>
      <c r="AM45" s="3823" t="s">
        <v>415</v>
      </c>
      <c r="AP45" s="3479" t="str">
        <f>IF(T45="","",T45)</f>
        <v>Наименование системы теплоснабжения </v>
      </c>
      <c r="AS45" s="3432">
        <v>23</v>
      </c>
    </row>
    <row customHeight="1" ht="22.049999999999997">
      <c r="A46" s="3857" t="s">
        <v>203</v>
      </c>
      <c r="B46" s="3857" t="s">
        <v>204</v>
      </c>
      <c r="C46" s="3857" t="s">
        <v>205</v>
      </c>
      <c r="D46" s="3857" t="s">
        <v>206</v>
      </c>
      <c r="E46" s="3824"/>
      <c r="F46" s="3824"/>
      <c r="G46" s="3824"/>
      <c r="H46" s="3817">
        <v>1</v>
      </c>
      <c r="Q46" s="3825"/>
      <c r="R46" s="3826"/>
      <c r="S46" s="3818" t="str">
        <f>INDEX(PT_DIFFERENTIATION_NUM_IST_TE,MATCH(D46,PT_DIFFERENTIATION_IST_TE_ID,0))</f>
        <v>...</v>
      </c>
      <c r="T46" s="3829" t="s">
        <v>416</v>
      </c>
      <c r="U46" s="3819"/>
      <c r="V46" s="3820"/>
      <c r="W46" s="3821"/>
      <c r="X46" s="3821"/>
      <c r="Y46" s="3821"/>
      <c r="Z46" s="3821"/>
      <c r="AA46" s="3821"/>
      <c r="AB46" s="3821"/>
      <c r="AC46" s="3822"/>
      <c r="AD46" s="3820" t="str">
        <f>INDEX(PT_DIFFERENTIATION_IST_TE,MATCH(D46,PT_DIFFERENTIATION_IST_TE_ID,0))</f>
        <v/>
      </c>
      <c r="AE46" s="3821"/>
      <c r="AF46" s="3821"/>
      <c r="AG46" s="3821"/>
      <c r="AH46" s="3821"/>
      <c r="AI46" s="3821"/>
      <c r="AJ46" s="3821"/>
      <c r="AK46" s="3821"/>
      <c r="AL46" s="3822"/>
      <c r="AM46" s="3823" t="s">
        <v>417</v>
      </c>
      <c r="AP46" s="3479" t="str">
        <f>IF(T46="","",T46)</f>
        <v>Источник тепловой энергии  </v>
      </c>
      <c r="AS46" s="3432">
        <v>21</v>
      </c>
    </row>
    <row customHeight="1" ht="0">
      <c r="A47" s="3470" t="s">
        <v>203</v>
      </c>
      <c r="B47" s="3470" t="s">
        <v>204</v>
      </c>
      <c r="C47" s="3470" t="s">
        <v>205</v>
      </c>
      <c r="D47" s="3470" t="s">
        <v>206</v>
      </c>
      <c r="E47" s="3824"/>
      <c r="F47" s="3824"/>
      <c r="G47" s="3824"/>
      <c r="H47" s="3824"/>
      <c r="I47" s="3711" t="str">
        <f>S46&amp;".1"</f>
        <v>....1</v>
      </c>
      <c r="L47" s="3866" t="s">
        <v>418</v>
      </c>
      <c r="P47" s="3471">
        <v>1</v>
      </c>
      <c r="R47" s="3831"/>
      <c r="S47" s="3582"/>
      <c r="T47" s="3860"/>
      <c r="U47" s="3861"/>
      <c r="V47" s="3862"/>
      <c r="W47" s="3863"/>
      <c r="X47" s="3863"/>
      <c r="Y47" s="3863"/>
      <c r="Z47" s="3863"/>
      <c r="AA47" s="3863"/>
      <c r="AB47" s="3863"/>
      <c r="AC47" s="3864"/>
      <c r="AD47" s="3862"/>
      <c r="AE47" s="3863"/>
      <c r="AF47" s="3863"/>
      <c r="AG47" s="3863"/>
      <c r="AH47" s="3863"/>
      <c r="AI47" s="3863"/>
      <c r="AJ47" s="3863"/>
      <c r="AK47" s="3863"/>
      <c r="AL47" s="3864"/>
      <c r="AM47" s="3865"/>
      <c r="AP47" s="3479" t="str">
        <f>IF(T47="","",T47)</f>
        <v/>
      </c>
      <c r="AS47" s="3473">
        <v>0</v>
      </c>
    </row>
    <row customHeight="1" ht="22.049999999999997">
      <c r="A48" s="3857" t="s">
        <v>203</v>
      </c>
      <c r="B48" s="3857" t="s">
        <v>204</v>
      </c>
      <c r="C48" s="3857" t="s">
        <v>205</v>
      </c>
      <c r="D48" s="3857" t="s">
        <v>206</v>
      </c>
      <c r="E48" s="3824"/>
      <c r="F48" s="3824"/>
      <c r="G48" s="3824"/>
      <c r="H48" s="3824"/>
      <c r="I48" s="3835"/>
      <c r="J48" s="3711" t="str">
        <f>S46&amp;".1"</f>
        <v>....1</v>
      </c>
      <c r="L48" s="3830" t="s">
        <v>421</v>
      </c>
      <c r="Q48" s="3471">
        <v>1</v>
      </c>
      <c r="R48" s="3836"/>
      <c r="S48" s="3818" t="str">
        <f>$J48</f>
        <v>....1</v>
      </c>
      <c r="T48" s="3837" t="s">
        <v>422</v>
      </c>
      <c r="U48" s="3819"/>
      <c r="V48" s="3638"/>
      <c r="W48" s="3833"/>
      <c r="X48" s="3833"/>
      <c r="Y48" s="3833"/>
      <c r="Z48" s="3833"/>
      <c r="AA48" s="3833"/>
      <c r="AB48" s="3833"/>
      <c r="AC48" s="3834"/>
      <c r="AD48" s="3638"/>
      <c r="AE48" s="3833"/>
      <c r="AF48" s="3833"/>
      <c r="AG48" s="3833"/>
      <c r="AH48" s="3833"/>
      <c r="AI48" s="3833"/>
      <c r="AJ48" s="3833"/>
      <c r="AK48" s="3833"/>
      <c r="AL48" s="3834"/>
      <c r="AM48" s="3823" t="s">
        <v>423</v>
      </c>
      <c r="AP48" s="3479" t="str">
        <f>IF(T48="","",T48)</f>
        <v>Группа потребителей</v>
      </c>
      <c r="AS48" s="3432">
        <v>21</v>
      </c>
    </row>
    <row customHeight="1" ht="22.049999999999997">
      <c r="A49" s="3857" t="s">
        <v>203</v>
      </c>
      <c r="B49" s="3857" t="s">
        <v>204</v>
      </c>
      <c r="C49" s="3857" t="s">
        <v>205</v>
      </c>
      <c r="D49" s="3857" t="s">
        <v>206</v>
      </c>
      <c r="E49" s="3824"/>
      <c r="F49" s="3824"/>
      <c r="G49" s="3824"/>
      <c r="H49" s="3824"/>
      <c r="I49" s="3835"/>
      <c r="J49" s="3835"/>
      <c r="K49" s="3711" t="str">
        <f>J48&amp;".1"</f>
        <v>....1.1</v>
      </c>
      <c r="L49" s="3830" t="s">
        <v>424</v>
      </c>
      <c r="R49" s="3836">
        <v>1</v>
      </c>
      <c r="S49" s="3818" t="str">
        <f>$K49</f>
        <v>....1.1</v>
      </c>
      <c r="T49" s="3838"/>
      <c r="U49" s="3819"/>
      <c r="V49" s="838"/>
      <c r="W49" s="839"/>
      <c r="X49" s="838"/>
      <c r="Y49" s="840"/>
      <c r="Z49" s="572"/>
      <c r="AA49" s="210" t="s">
        <v>61</v>
      </c>
      <c r="AB49" s="572"/>
      <c r="AC49" s="210" t="s">
        <v>61</v>
      </c>
      <c r="AD49" s="838"/>
      <c r="AE49" s="839"/>
      <c r="AF49" s="838"/>
      <c r="AG49" s="840"/>
      <c r="AH49" s="572"/>
      <c r="AI49" s="210" t="s">
        <v>61</v>
      </c>
      <c r="AJ49" s="881"/>
      <c r="AK49" s="210" t="s">
        <v>61</v>
      </c>
      <c r="AL49" s="882"/>
      <c r="AM49" s="3839" t="s">
        <v>466</v>
      </c>
      <c r="AN49" s="3473">
        <f>STRCHECKDATE(V50:AL50)</f>
      </c>
      <c r="AP49" s="3479" t="str">
        <f>IF(T49="","",T49)</f>
        <v/>
      </c>
      <c r="AS49" s="3432">
        <v>21</v>
      </c>
    </row>
    <row customHeight="1" ht="0">
      <c r="A50" s="3857" t="s">
        <v>203</v>
      </c>
      <c r="B50" s="3857" t="s">
        <v>204</v>
      </c>
      <c r="C50" s="3857" t="s">
        <v>205</v>
      </c>
      <c r="D50" s="3857" t="s">
        <v>206</v>
      </c>
      <c r="E50" s="3824"/>
      <c r="F50" s="3824"/>
      <c r="G50" s="3824"/>
      <c r="H50" s="3824"/>
      <c r="I50" s="3835"/>
      <c r="J50" s="3835"/>
      <c r="K50" s="3711"/>
      <c r="R50" s="3836"/>
      <c r="S50" s="421"/>
      <c r="T50" s="3819"/>
      <c r="U50" s="3819"/>
      <c r="V50" s="839"/>
      <c r="W50" s="839"/>
      <c r="X50" s="839"/>
      <c r="Y50" s="842" t="str">
        <f>Z49&amp;"-"&amp;AB49</f>
        <v>-</v>
      </c>
      <c r="Z50" s="573"/>
      <c r="AA50" s="210"/>
      <c r="AB50" s="573"/>
      <c r="AC50" s="210"/>
      <c r="AD50" s="839"/>
      <c r="AE50" s="839"/>
      <c r="AF50" s="839"/>
      <c r="AG50" s="842" t="str">
        <f>AH49&amp;"-"&amp;AJ49</f>
        <v>-</v>
      </c>
      <c r="AH50" s="573"/>
      <c r="AI50" s="210"/>
      <c r="AJ50" s="883"/>
      <c r="AK50" s="210"/>
      <c r="AL50" s="884"/>
      <c r="AM50" s="3840"/>
      <c r="AP50" s="3479" t="str">
        <f>IF(T50="","",T50)</f>
        <v/>
      </c>
      <c r="AS50" s="3432">
        <v>0</v>
      </c>
    </row>
    <row customHeight="1" ht="11.549999999999999">
      <c r="A51" s="3857" t="s">
        <v>203</v>
      </c>
      <c r="B51" s="3857" t="s">
        <v>204</v>
      </c>
      <c r="C51" s="3857" t="s">
        <v>205</v>
      </c>
      <c r="D51" s="3857" t="s">
        <v>206</v>
      </c>
      <c r="E51" s="3824"/>
      <c r="F51" s="3824"/>
      <c r="G51" s="3824"/>
      <c r="H51" s="3824"/>
      <c r="I51" s="3835"/>
      <c r="J51" s="3711"/>
      <c r="R51" s="3831"/>
      <c r="S51" s="844"/>
      <c r="T51" s="848" t="s">
        <v>426</v>
      </c>
      <c r="U51" s="200"/>
      <c r="V51" s="200"/>
      <c r="W51" s="200"/>
      <c r="X51" s="200"/>
      <c r="Y51" s="200"/>
      <c r="Z51" s="200"/>
      <c r="AA51" s="200"/>
      <c r="AB51" s="200"/>
      <c r="AC51" s="200"/>
      <c r="AD51" s="200"/>
      <c r="AE51" s="200"/>
      <c r="AF51" s="200"/>
      <c r="AG51" s="200"/>
      <c r="AH51" s="200"/>
      <c r="AI51" s="200"/>
      <c r="AJ51" s="200"/>
      <c r="AK51" s="200"/>
      <c r="AL51" s="846"/>
      <c r="AM51" s="3841"/>
      <c r="AP51" s="3479" t="str">
        <f>IF(T51="","",T51)</f>
        <v>Добавить вид теплоносителя (параметры теплоносителя)</v>
      </c>
      <c r="AS51" s="3432">
        <v>11</v>
      </c>
    </row>
    <row customHeight="1" ht="11.549999999999999">
      <c r="A52" s="3857" t="s">
        <v>203</v>
      </c>
      <c r="B52" s="3857" t="s">
        <v>204</v>
      </c>
      <c r="C52" s="3857" t="s">
        <v>205</v>
      </c>
      <c r="D52" s="3857" t="s">
        <v>206</v>
      </c>
      <c r="E52" s="3824"/>
      <c r="F52" s="3824"/>
      <c r="G52" s="3824"/>
      <c r="H52" s="3824"/>
      <c r="I52" s="3711"/>
      <c r="R52" s="3831"/>
      <c r="S52" s="844"/>
      <c r="T52" s="851" t="s">
        <v>427</v>
      </c>
      <c r="U52" s="200"/>
      <c r="V52" s="200"/>
      <c r="W52" s="200"/>
      <c r="X52" s="200"/>
      <c r="Y52" s="200"/>
      <c r="Z52" s="200"/>
      <c r="AA52" s="200"/>
      <c r="AB52" s="200"/>
      <c r="AC52" s="849"/>
      <c r="AD52" s="200"/>
      <c r="AE52" s="200"/>
      <c r="AF52" s="200"/>
      <c r="AG52" s="200"/>
      <c r="AH52" s="200"/>
      <c r="AI52" s="200"/>
      <c r="AJ52" s="200"/>
      <c r="AK52" s="849"/>
      <c r="AL52" s="200"/>
      <c r="AM52" s="850"/>
      <c r="AP52" s="3479" t="str">
        <f>IF(T52="","",T52)</f>
        <v>Добавить группу потребителей</v>
      </c>
      <c r="AS52" s="3432">
        <v>11</v>
      </c>
    </row>
    <row customHeight="1" ht="0">
      <c r="A53" s="3857" t="s">
        <v>203</v>
      </c>
      <c r="B53" s="3857" t="s">
        <v>204</v>
      </c>
      <c r="C53" s="3857" t="s">
        <v>205</v>
      </c>
      <c r="D53" s="3857" t="s">
        <v>206</v>
      </c>
      <c r="E53" s="3824"/>
      <c r="F53" s="3824"/>
      <c r="G53" s="3824"/>
      <c r="H53" s="3817"/>
      <c r="R53" s="816"/>
      <c r="S53" s="894"/>
      <c r="T53" s="895"/>
      <c r="U53" s="896"/>
      <c r="V53" s="896"/>
      <c r="W53" s="896"/>
      <c r="X53" s="896"/>
      <c r="Y53" s="896"/>
      <c r="Z53" s="896"/>
      <c r="AA53" s="896"/>
      <c r="AB53" s="896"/>
      <c r="AC53" s="896"/>
      <c r="AD53" s="896"/>
      <c r="AE53" s="896"/>
      <c r="AF53" s="896"/>
      <c r="AG53" s="896"/>
      <c r="AH53" s="896"/>
      <c r="AI53" s="896"/>
      <c r="AJ53" s="896"/>
      <c r="AK53" s="896"/>
      <c r="AL53" s="896"/>
      <c r="AM53" s="897"/>
      <c r="AP53" s="3479" t="str">
        <f>IF(T53="","",T53)</f>
        <v/>
      </c>
      <c r="AS53" s="3432">
        <v>0</v>
      </c>
    </row>
    <row customHeight="1" ht="0">
      <c r="A54" s="3470" t="s">
        <v>203</v>
      </c>
      <c r="B54" s="3470" t="s">
        <v>204</v>
      </c>
      <c r="C54" s="3470" t="s">
        <v>205</v>
      </c>
      <c r="E54" s="3824"/>
      <c r="F54" s="3824"/>
      <c r="G54" s="3817"/>
      <c r="T54" s="856" t="s">
        <v>429</v>
      </c>
      <c r="AP54" s="3479" t="str">
        <f>IF(T54="","",T54)</f>
        <v>Добавить источник для дифференциации</v>
      </c>
      <c r="AS54" s="3473">
        <v>0</v>
      </c>
    </row>
    <row customHeight="1" ht="0">
      <c r="A55" s="3470" t="s">
        <v>203</v>
      </c>
      <c r="B55" s="3470" t="s">
        <v>204</v>
      </c>
      <c r="E55" s="3824"/>
      <c r="F55" s="3817"/>
      <c r="T55" s="856" t="s">
        <v>430</v>
      </c>
      <c r="AP55" s="3479" t="str">
        <f>IF(T55="","",T55)</f>
        <v>Добавить централизованную систему для дифференциации</v>
      </c>
      <c r="AS55" s="3473">
        <v>0</v>
      </c>
    </row>
    <row customHeight="1" ht="0">
      <c r="A56" s="3470" t="s">
        <v>203</v>
      </c>
      <c r="E56" s="3817"/>
      <c r="T56" s="856" t="s">
        <v>431</v>
      </c>
      <c r="AP56" s="3479" t="str">
        <f>IF(T56="","",T56)</f>
        <v>Добавить территорию для дифференциации</v>
      </c>
      <c r="AS56" s="3473">
        <v>0</v>
      </c>
    </row>
    <row customHeight="1" ht="4.2">
      <c r="T57" s="856" t="s">
        <v>463</v>
      </c>
      <c r="AP57" s="3479" t="str">
        <f>IF(T57="","",T57)</f>
        <v>Добавить наименование тарифа</v>
      </c>
      <c r="AS57" s="3473">
        <v>4</v>
      </c>
    </row>
    <row customHeight="1" ht="11.549999999999999">
      <c r="AS58" s="3432">
        <v>11</v>
      </c>
    </row>
    <row customHeight="1" ht="14.699999999999998">
      <c r="AS59" s="3432">
        <v>14</v>
      </c>
    </row>
    <row customHeight="1" ht="14.699999999999998">
      <c r="AS60" s="3432">
        <v>14</v>
      </c>
    </row>
    <row customHeight="1" ht="14.699999999999998">
      <c r="AS61" s="3432">
        <v>14</v>
      </c>
    </row>
    <row customHeight="1" ht="14.699999999999998">
      <c r="AS62" s="3432">
        <v>14</v>
      </c>
    </row>
    <row customHeight="1" ht="14.699999999999998">
      <c r="AS63" s="3432">
        <v>14</v>
      </c>
    </row>
    <row customHeight="1" ht="14.699999999999998">
      <c r="AS64" s="3432">
        <v>14</v>
      </c>
    </row>
    <row customHeight="1" ht="14.699999999999998">
      <c r="AS65" s="3432">
        <v>14</v>
      </c>
    </row>
    <row customHeight="1" ht="22.5" hidden="1">
      <c r="A66" s="3449" t="s">
        <v>80</v>
      </c>
      <c r="B66" s="3449">
        <v>0</v>
      </c>
      <c r="C66" s="3449">
        <v>0</v>
      </c>
      <c r="D66" s="3449">
        <v>0</v>
      </c>
      <c r="E66" s="3449">
        <v>0</v>
      </c>
      <c r="F66" s="3449">
        <v>0</v>
      </c>
      <c r="G66" s="3449">
        <v>0</v>
      </c>
      <c r="H66" s="3449">
        <v>0</v>
      </c>
      <c r="I66" s="3449">
        <v>0</v>
      </c>
      <c r="J66" s="3449">
        <v>0</v>
      </c>
      <c r="K66" s="3449">
        <v>0</v>
      </c>
      <c r="L66" s="3618">
        <v>0</v>
      </c>
      <c r="M66" s="105">
        <v>0</v>
      </c>
      <c r="N66" s="105">
        <v>0</v>
      </c>
      <c r="O66" s="105">
        <v>0</v>
      </c>
      <c r="P66" s="782">
        <v>0</v>
      </c>
      <c r="Q66" s="3797">
        <v>3</v>
      </c>
      <c r="R66" s="3797">
        <v>3</v>
      </c>
      <c r="S66" s="3447">
        <v>12</v>
      </c>
      <c r="T66" s="3432">
        <v>31</v>
      </c>
      <c r="U66" s="3432">
        <v>0</v>
      </c>
      <c r="V66" s="3432">
        <v>0</v>
      </c>
      <c r="W66" s="3432">
        <v>0</v>
      </c>
      <c r="X66" s="3432">
        <v>0</v>
      </c>
      <c r="Y66" s="3432">
        <v>0</v>
      </c>
      <c r="Z66" s="3432">
        <v>0</v>
      </c>
      <c r="AA66" s="3432">
        <v>0</v>
      </c>
      <c r="AB66" s="3432">
        <v>0</v>
      </c>
      <c r="AC66" s="3432">
        <v>0</v>
      </c>
      <c r="AD66" s="3432">
        <v>24</v>
      </c>
      <c r="AE66" s="3432">
        <v>0</v>
      </c>
      <c r="AF66" s="3432">
        <v>24</v>
      </c>
      <c r="AG66" s="3432">
        <v>24</v>
      </c>
      <c r="AH66" s="3432">
        <v>11</v>
      </c>
      <c r="AI66" s="3432">
        <v>3</v>
      </c>
      <c r="AJ66" s="3432">
        <v>11</v>
      </c>
      <c r="AK66" s="3432">
        <v>0</v>
      </c>
      <c r="AL66" s="3432">
        <v>4</v>
      </c>
      <c r="AM66" s="3432">
        <v>115</v>
      </c>
      <c r="AN66" s="3473">
        <v>10</v>
      </c>
      <c r="AO66" s="3473">
        <v>10</v>
      </c>
      <c r="AP66" s="3473">
        <v>10</v>
      </c>
      <c r="AQ66" s="3473">
        <v>10</v>
      </c>
      <c r="AR66" s="3473">
        <v>10</v>
      </c>
      <c r="AS66" s="343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08219-D5E5-E6FD-E8B5-15C3214FFD9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2" style="7348" width="11.421875" hidden="1" customWidth="1"/>
    <col min="13" max="13" style="7348" width="19.140625" hidden="1" customWidth="1"/>
    <col min="14" max="15" style="7348" width="12.28125" hidden="1" customWidth="1"/>
    <col min="16" max="16" style="7348" width="23.421875" hidden="1" customWidth="1"/>
    <col min="17" max="17" style="7348" width="3.7109375" hidden="1" customWidth="1"/>
    <col min="18" max="20" style="7348" width="3.00390625" customWidth="1"/>
    <col min="21" max="21" style="7348" width="12.00390625" customWidth="1"/>
    <col min="22" max="22" style="7348" width="31.00390625" customWidth="1"/>
    <col min="23" max="23" style="7348" width="0.140625" customWidth="1"/>
    <col min="24" max="28" style="7348" width="21.7109375" hidden="1" customWidth="1"/>
    <col min="29" max="29" style="7348" width="11.7109375" hidden="1" customWidth="1"/>
    <col min="30" max="30" style="7348" width="3.7109375" hidden="1" customWidth="1"/>
    <col min="31" max="31" style="7348" width="11.7109375" hidden="1" customWidth="1"/>
    <col min="32" max="32" style="7348" width="8.57421875" hidden="1" customWidth="1"/>
    <col min="33" max="33" style="7348" width="21.7109375" customWidth="1"/>
    <col min="34" max="37" style="7348" width="21.00390625" customWidth="1"/>
    <col min="38" max="38" style="7348" width="11.00390625" customWidth="1"/>
    <col min="39" max="39" style="7348" width="3.7109375" customWidth="1"/>
    <col min="40" max="40" style="7348" width="11.00390625" customWidth="1"/>
    <col min="41" max="41" style="7348" width="8.57421875" hidden="1" customWidth="1"/>
    <col min="42" max="42" style="7348" width="4.00390625" customWidth="1"/>
    <col min="43" max="43" style="7348" width="115.00390625" customWidth="1"/>
    <col min="44" max="48" style="7348" width="10.00390625" customWidth="1"/>
    <col min="49" max="49" style="7348" width="10.57421875" hidden="1"/>
  </cols>
  <sheetData>
    <row customHeight="1" ht="22.5" hidden="1">
      <c r="AW1" s="3432" t="s">
        <v>14</v>
      </c>
    </row>
    <row customHeight="1" ht="21" hidden="1">
      <c r="E2" s="3879">
        <v>1</v>
      </c>
      <c r="T2" s="816"/>
      <c r="U2" s="3818">
        <f>INDEX(PT_DIFFERENTIATION_NUM_NTAR,MATCH(A2,PT_DIFFERENTIATION_NTAR_ID,0))</f>
      </c>
      <c r="V2" s="3764" t="s">
        <v>141</v>
      </c>
      <c r="W2" s="3819"/>
      <c r="X2" s="3820"/>
      <c r="Y2" s="3821"/>
      <c r="Z2" s="3821"/>
      <c r="AA2" s="3821"/>
      <c r="AB2" s="3821"/>
      <c r="AC2" s="3821"/>
      <c r="AD2" s="3821"/>
      <c r="AE2" s="3821"/>
      <c r="AF2" s="3822"/>
      <c r="AG2" s="3820">
        <f>INDEX(PT_DIFFERENTIATION_NTAR,MATCH(A2,PT_DIFFERENTIATION_NTAR_ID,0))</f>
      </c>
      <c r="AH2" s="3821"/>
      <c r="AI2" s="3821"/>
      <c r="AJ2" s="3821"/>
      <c r="AK2" s="3821"/>
      <c r="AL2" s="3821"/>
      <c r="AM2" s="3821"/>
      <c r="AN2" s="3821"/>
      <c r="AO2" s="3821"/>
      <c r="AP2" s="3822"/>
      <c r="AQ2" s="3823" t="s">
        <v>411</v>
      </c>
      <c r="AT2" s="3479" t="str">
        <f>IF(V2="","",V2)</f>
        <v>Наименование тарифа</v>
      </c>
      <c r="AW2" s="3432">
        <v>0</v>
      </c>
    </row>
    <row customHeight="1" ht="21" hidden="1">
      <c r="E3" s="3880"/>
      <c r="F3" s="3879">
        <v>1</v>
      </c>
      <c r="R3" s="3825"/>
      <c r="T3" s="3826"/>
      <c r="U3" s="3818">
        <f>INDEX(PT_DIFFERENTIATION_NUM_TER,MATCH(B3,PT_DIFFERENTIATION_TER_ID,0))</f>
      </c>
      <c r="V3" s="3827" t="s">
        <v>412</v>
      </c>
      <c r="W3" s="3819"/>
      <c r="X3" s="3820"/>
      <c r="Y3" s="3821"/>
      <c r="Z3" s="3821"/>
      <c r="AA3" s="3821"/>
      <c r="AB3" s="3821"/>
      <c r="AC3" s="3821"/>
      <c r="AD3" s="3821"/>
      <c r="AE3" s="3821"/>
      <c r="AF3" s="3822"/>
      <c r="AG3" s="3820">
        <f>INDEX(PT_DIFFERENTIATION_TER,MATCH(B3,PT_DIFFERENTIATION_TER_ID,0))</f>
      </c>
      <c r="AH3" s="3821"/>
      <c r="AI3" s="3821"/>
      <c r="AJ3" s="3821"/>
      <c r="AK3" s="3821"/>
      <c r="AL3" s="3821"/>
      <c r="AM3" s="3821"/>
      <c r="AN3" s="3821"/>
      <c r="AO3" s="3821"/>
      <c r="AP3" s="3822"/>
      <c r="AQ3" s="3823" t="s">
        <v>413</v>
      </c>
      <c r="AT3" s="3479" t="str">
        <f>IF(V3="","",V3)</f>
        <v>Территория действия тарифа</v>
      </c>
      <c r="AW3" s="3432">
        <v>0</v>
      </c>
    </row>
    <row customHeight="1" ht="22.5" hidden="1">
      <c r="E4" s="3880"/>
      <c r="F4" s="3880"/>
      <c r="G4" s="3879">
        <v>1</v>
      </c>
      <c r="R4" s="3825"/>
      <c r="T4" s="3826"/>
      <c r="U4" s="3818">
        <f>INDEX(PT_DIFFERENTIATION_NUM_CS,MATCH(C4,PT_DIFFERENTIATION_CS_ID,0))</f>
      </c>
      <c r="V4" s="3828" t="s">
        <v>414</v>
      </c>
      <c r="W4" s="3819"/>
      <c r="X4" s="3820"/>
      <c r="Y4" s="3821"/>
      <c r="Z4" s="3821"/>
      <c r="AA4" s="3821"/>
      <c r="AB4" s="3821"/>
      <c r="AC4" s="3821"/>
      <c r="AD4" s="3821"/>
      <c r="AE4" s="3821"/>
      <c r="AF4" s="3822"/>
      <c r="AG4" s="3820">
        <f>INDEX(PT_DIFFERENTIATION_CS,MATCH(C4,PT_DIFFERENTIATION_CS_ID,0))</f>
      </c>
      <c r="AH4" s="3821"/>
      <c r="AI4" s="3821"/>
      <c r="AJ4" s="3821"/>
      <c r="AK4" s="3821"/>
      <c r="AL4" s="3821"/>
      <c r="AM4" s="3821"/>
      <c r="AN4" s="3821"/>
      <c r="AO4" s="3821"/>
      <c r="AP4" s="3822"/>
      <c r="AQ4" s="3823" t="s">
        <v>415</v>
      </c>
      <c r="AT4" s="3479" t="str">
        <f>IF(V4="","",V4)</f>
        <v>Наименование системы теплоснабжения </v>
      </c>
      <c r="AW4" s="3432">
        <v>0</v>
      </c>
    </row>
    <row customHeight="1" ht="21" hidden="1">
      <c r="E5" s="3880"/>
      <c r="F5" s="3880"/>
      <c r="G5" s="3880"/>
      <c r="H5" s="3879">
        <v>1</v>
      </c>
      <c r="R5" s="3825"/>
      <c r="T5" s="3826"/>
      <c r="U5" s="3818">
        <f>INDEX(PT_DIFFERENTIATION_NUM_IST_TE,MATCH(D5,PT_DIFFERENTIATION_IST_TE_ID,0))</f>
      </c>
      <c r="V5" s="3829" t="s">
        <v>416</v>
      </c>
      <c r="W5" s="3819"/>
      <c r="X5" s="3820"/>
      <c r="Y5" s="3821"/>
      <c r="Z5" s="3821"/>
      <c r="AA5" s="3821"/>
      <c r="AB5" s="3821"/>
      <c r="AC5" s="3821"/>
      <c r="AD5" s="3821"/>
      <c r="AE5" s="3821"/>
      <c r="AF5" s="3822"/>
      <c r="AG5" s="3820">
        <f>INDEX(PT_DIFFERENTIATION_IST_TE,MATCH(D5,PT_DIFFERENTIATION_IST_TE_ID,0))</f>
      </c>
      <c r="AH5" s="3821"/>
      <c r="AI5" s="3821"/>
      <c r="AJ5" s="3821"/>
      <c r="AK5" s="3821"/>
      <c r="AL5" s="3821"/>
      <c r="AM5" s="3821"/>
      <c r="AN5" s="3821"/>
      <c r="AO5" s="3821"/>
      <c r="AP5" s="3822"/>
      <c r="AQ5" s="3823" t="s">
        <v>417</v>
      </c>
      <c r="AT5" s="3479" t="str">
        <f>IF(V5="","",V5)</f>
        <v>Источник тепловой энергии  </v>
      </c>
      <c r="AW5" s="3432">
        <v>0</v>
      </c>
    </row>
    <row customHeight="1" ht="14.25" hidden="1">
      <c r="E6" s="3880"/>
      <c r="F6" s="3880"/>
      <c r="G6" s="3880"/>
      <c r="H6" s="3880"/>
      <c r="I6" s="3480">
        <f>U5&amp;".1"</f>
      </c>
      <c r="M6" s="3881" t="s">
        <v>418</v>
      </c>
      <c r="Q6" s="3471">
        <v>1</v>
      </c>
      <c r="T6" s="3831"/>
      <c r="U6" s="3582"/>
      <c r="V6" s="3860"/>
      <c r="W6" s="3861"/>
      <c r="X6" s="3862"/>
      <c r="Y6" s="3863"/>
      <c r="Z6" s="3863"/>
      <c r="AA6" s="3863"/>
      <c r="AB6" s="3863"/>
      <c r="AC6" s="3863"/>
      <c r="AD6" s="3863"/>
      <c r="AE6" s="3863"/>
      <c r="AF6" s="3864"/>
      <c r="AG6" s="3862"/>
      <c r="AH6" s="3863"/>
      <c r="AI6" s="3863"/>
      <c r="AJ6" s="3863"/>
      <c r="AK6" s="3863"/>
      <c r="AL6" s="3863"/>
      <c r="AM6" s="3863"/>
      <c r="AN6" s="3863"/>
      <c r="AO6" s="3863"/>
      <c r="AP6" s="3864"/>
      <c r="AQ6" s="3865"/>
      <c r="AT6" s="3479" t="str">
        <f>IF(V6="","",V6)</f>
        <v/>
      </c>
      <c r="AW6" s="3432">
        <v>0</v>
      </c>
    </row>
    <row customHeight="1" ht="21" hidden="1">
      <c r="E7" s="3880"/>
      <c r="F7" s="3880"/>
      <c r="G7" s="3880"/>
      <c r="H7" s="3880"/>
      <c r="I7" s="3437"/>
      <c r="J7" s="3480">
        <f>I6&amp;".1"</f>
      </c>
      <c r="M7" s="3881" t="s">
        <v>421</v>
      </c>
      <c r="R7" s="3471">
        <v>1</v>
      </c>
      <c r="T7" s="3836"/>
      <c r="U7" s="3818">
        <f>$J7</f>
      </c>
      <c r="V7" s="3837" t="s">
        <v>422</v>
      </c>
      <c r="W7" s="3819"/>
      <c r="X7" s="3638"/>
      <c r="Y7" s="3833"/>
      <c r="Z7" s="3833"/>
      <c r="AA7" s="3833"/>
      <c r="AB7" s="3833"/>
      <c r="AC7" s="3643"/>
      <c r="AD7" s="3643"/>
      <c r="AE7" s="3643"/>
      <c r="AF7" s="3882"/>
      <c r="AG7" s="3638"/>
      <c r="AH7" s="3833"/>
      <c r="AI7" s="3833"/>
      <c r="AJ7" s="3833"/>
      <c r="AK7" s="3833"/>
      <c r="AL7" s="3833"/>
      <c r="AM7" s="3833"/>
      <c r="AN7" s="3833"/>
      <c r="AO7" s="3833"/>
      <c r="AP7" s="3834"/>
      <c r="AQ7" s="3823" t="s">
        <v>423</v>
      </c>
      <c r="AT7" s="3479" t="str">
        <f>IF(V7="","",V7)</f>
        <v>Группа потребителей</v>
      </c>
      <c r="AW7" s="3432">
        <v>0</v>
      </c>
    </row>
    <row customHeight="1" ht="21" hidden="1">
      <c r="E8" s="3880"/>
      <c r="F8" s="3880"/>
      <c r="G8" s="3880"/>
      <c r="H8" s="3880"/>
      <c r="I8" s="3437"/>
      <c r="J8" s="3437"/>
      <c r="K8" s="3480">
        <f>J7&amp;".1"</f>
      </c>
      <c r="M8" s="3881" t="s">
        <v>424</v>
      </c>
      <c r="S8" s="3471">
        <v>1</v>
      </c>
      <c r="T8" s="3836"/>
      <c r="U8" s="3818">
        <f>$K8</f>
      </c>
      <c r="V8" s="3838"/>
      <c r="W8" s="3819"/>
      <c r="X8" s="838"/>
      <c r="Y8" s="838"/>
      <c r="Z8" s="838"/>
      <c r="AA8" s="838"/>
      <c r="AB8" s="918"/>
      <c r="AC8" s="572"/>
      <c r="AD8" s="210" t="s">
        <v>61</v>
      </c>
      <c r="AE8" s="572"/>
      <c r="AF8" s="210" t="s">
        <v>61</v>
      </c>
      <c r="AG8" s="919"/>
      <c r="AH8" s="838"/>
      <c r="AI8" s="838"/>
      <c r="AJ8" s="838"/>
      <c r="AK8" s="840"/>
      <c r="AL8" s="572"/>
      <c r="AM8" s="210" t="s">
        <v>61</v>
      </c>
      <c r="AN8" s="572"/>
      <c r="AO8" s="210" t="s">
        <v>61</v>
      </c>
      <c r="AP8" s="839"/>
      <c r="AQ8" s="3883" t="s">
        <v>467</v>
      </c>
      <c r="AR8" s="3473">
        <f>STRCHECKDATE(X10:AP10)</f>
      </c>
      <c r="AT8" s="3479" t="str">
        <f>IF(V8="","",V8)</f>
        <v/>
      </c>
      <c r="AW8" s="3432">
        <v>0</v>
      </c>
    </row>
    <row customHeight="1" ht="21" hidden="1">
      <c r="E9" s="3880"/>
      <c r="F9" s="3880"/>
      <c r="G9" s="3880"/>
      <c r="H9" s="3880"/>
      <c r="I9" s="3437"/>
      <c r="J9" s="3437"/>
      <c r="K9" s="3437"/>
      <c r="L9" s="3480">
        <f>K8&amp;".1"</f>
      </c>
      <c r="T9" s="3836"/>
      <c r="U9" s="3818">
        <f>$L9</f>
      </c>
      <c r="V9" s="3884"/>
      <c r="W9" s="3819"/>
      <c r="X9" s="839"/>
      <c r="Y9" s="838"/>
      <c r="Z9" s="838"/>
      <c r="AA9" s="838"/>
      <c r="AB9" s="918"/>
      <c r="AC9" s="573"/>
      <c r="AD9" s="210"/>
      <c r="AE9" s="573"/>
      <c r="AF9" s="210"/>
      <c r="AG9" s="919"/>
      <c r="AH9" s="838"/>
      <c r="AI9" s="838"/>
      <c r="AJ9" s="838"/>
      <c r="AK9" s="840"/>
      <c r="AL9" s="573"/>
      <c r="AM9" s="210"/>
      <c r="AN9" s="573"/>
      <c r="AO9" s="210"/>
      <c r="AP9" s="839"/>
      <c r="AQ9" s="3839" t="s">
        <v>468</v>
      </c>
      <c r="AW9" s="3432">
        <v>0</v>
      </c>
    </row>
    <row customHeight="1" ht="14.25" hidden="1">
      <c r="E10" s="3880"/>
      <c r="F10" s="3880"/>
      <c r="G10" s="3880"/>
      <c r="H10" s="3880"/>
      <c r="I10" s="3437"/>
      <c r="J10" s="3437"/>
      <c r="K10" s="3437"/>
      <c r="L10" s="3480"/>
      <c r="T10" s="3836"/>
      <c r="U10" s="421"/>
      <c r="V10" s="3819"/>
      <c r="W10" s="3819"/>
      <c r="X10" s="839"/>
      <c r="Y10" s="839"/>
      <c r="Z10" s="839"/>
      <c r="AA10" s="839"/>
      <c r="AB10" s="922" t="str">
        <f>AC8&amp;"-"&amp;AE8</f>
        <v>-</v>
      </c>
      <c r="AC10" s="573"/>
      <c r="AD10" s="210"/>
      <c r="AE10" s="573"/>
      <c r="AF10" s="210"/>
      <c r="AG10" s="923"/>
      <c r="AH10" s="839"/>
      <c r="AI10" s="839"/>
      <c r="AJ10" s="839"/>
      <c r="AK10" s="842" t="str">
        <f>AL8&amp;"-"&amp;AN8</f>
        <v>-</v>
      </c>
      <c r="AL10" s="573"/>
      <c r="AM10" s="210"/>
      <c r="AN10" s="573"/>
      <c r="AO10" s="210"/>
      <c r="AP10" s="839"/>
      <c r="AQ10" s="3840"/>
      <c r="AT10" s="3479" t="str">
        <f>IF(V10="","",V10)</f>
        <v/>
      </c>
      <c r="AW10" s="3432">
        <v>0</v>
      </c>
    </row>
    <row customHeight="1" ht="11.25" hidden="1">
      <c r="E11" s="3880"/>
      <c r="F11" s="3880"/>
      <c r="G11" s="3880"/>
      <c r="H11" s="3880"/>
      <c r="I11" s="3437"/>
      <c r="J11" s="3437"/>
      <c r="K11" s="3480"/>
      <c r="T11" s="3836"/>
      <c r="U11" s="844"/>
      <c r="V11" s="845" t="s">
        <v>469</v>
      </c>
      <c r="W11" s="3885"/>
      <c r="X11" s="925"/>
      <c r="Y11" s="925"/>
      <c r="Z11" s="925"/>
      <c r="AA11" s="925"/>
      <c r="AB11" s="926"/>
      <c r="AC11" s="573"/>
      <c r="AD11" s="210"/>
      <c r="AE11" s="573"/>
      <c r="AF11" s="210"/>
      <c r="AG11" s="925"/>
      <c r="AH11" s="925"/>
      <c r="AI11" s="925"/>
      <c r="AJ11" s="925"/>
      <c r="AK11" s="926"/>
      <c r="AL11" s="573"/>
      <c r="AM11" s="210"/>
      <c r="AN11" s="573"/>
      <c r="AO11" s="210"/>
      <c r="AP11" s="927"/>
      <c r="AQ11" s="3840"/>
      <c r="AW11" s="3432">
        <v>0</v>
      </c>
    </row>
    <row customHeight="1" ht="15" hidden="1">
      <c r="E12" s="3880"/>
      <c r="F12" s="3880"/>
      <c r="G12" s="3880"/>
      <c r="H12" s="3880"/>
      <c r="I12" s="3437"/>
      <c r="J12" s="3480"/>
      <c r="T12" s="3831"/>
      <c r="U12" s="844"/>
      <c r="V12" s="848" t="s">
        <v>426</v>
      </c>
      <c r="W12" s="200"/>
      <c r="X12" s="200"/>
      <c r="Y12" s="200"/>
      <c r="Z12" s="200"/>
      <c r="AA12" s="200"/>
      <c r="AB12" s="200"/>
      <c r="AC12" s="928"/>
      <c r="AD12" s="928"/>
      <c r="AE12" s="928"/>
      <c r="AF12" s="928"/>
      <c r="AG12" s="200"/>
      <c r="AH12" s="200"/>
      <c r="AI12" s="200"/>
      <c r="AJ12" s="200"/>
      <c r="AK12" s="200"/>
      <c r="AL12" s="200"/>
      <c r="AM12" s="200"/>
      <c r="AN12" s="200"/>
      <c r="AO12" s="200"/>
      <c r="AP12" s="846"/>
      <c r="AQ12" s="3841"/>
      <c r="AT12" s="3479" t="str">
        <f>IF(V12="","",V12)</f>
        <v>Добавить вид теплоносителя (параметры теплоносителя)</v>
      </c>
      <c r="AW12" s="3432">
        <v>0</v>
      </c>
    </row>
    <row customHeight="1" ht="11.25" hidden="1">
      <c r="E13" s="3880"/>
      <c r="F13" s="3880"/>
      <c r="G13" s="3880"/>
      <c r="H13" s="3880"/>
      <c r="I13" s="3480"/>
      <c r="T13" s="3831"/>
      <c r="U13" s="844"/>
      <c r="V13" s="851" t="s">
        <v>427</v>
      </c>
      <c r="W13" s="200"/>
      <c r="X13" s="200"/>
      <c r="Y13" s="200"/>
      <c r="Z13" s="200"/>
      <c r="AA13" s="200"/>
      <c r="AB13" s="200"/>
      <c r="AC13" s="200"/>
      <c r="AD13" s="200"/>
      <c r="AE13" s="200"/>
      <c r="AF13" s="849"/>
      <c r="AG13" s="200"/>
      <c r="AH13" s="200"/>
      <c r="AI13" s="200"/>
      <c r="AJ13" s="200"/>
      <c r="AK13" s="200"/>
      <c r="AL13" s="200"/>
      <c r="AM13" s="200"/>
      <c r="AN13" s="200"/>
      <c r="AO13" s="849"/>
      <c r="AP13" s="200"/>
      <c r="AQ13" s="850"/>
      <c r="AT13" s="3479" t="str">
        <f>IF(V13="","",V13)</f>
        <v>Добавить группу потребителей</v>
      </c>
      <c r="AW13" s="3432">
        <v>0</v>
      </c>
    </row>
    <row customHeight="1" ht="14.25" hidden="1">
      <c r="E14" s="3880"/>
      <c r="F14" s="3880"/>
      <c r="G14" s="3880"/>
      <c r="H14" s="3879"/>
      <c r="S14" s="816"/>
      <c r="U14" s="894"/>
      <c r="V14" s="895"/>
      <c r="W14" s="896"/>
      <c r="X14" s="896"/>
      <c r="Y14" s="896"/>
      <c r="Z14" s="896"/>
      <c r="AA14" s="896"/>
      <c r="AB14" s="896"/>
      <c r="AC14" s="896"/>
      <c r="AD14" s="896"/>
      <c r="AE14" s="896"/>
      <c r="AF14" s="896"/>
      <c r="AG14" s="896"/>
      <c r="AH14" s="896"/>
      <c r="AI14" s="896"/>
      <c r="AJ14" s="896"/>
      <c r="AK14" s="896"/>
      <c r="AL14" s="896"/>
      <c r="AM14" s="896"/>
      <c r="AN14" s="896"/>
      <c r="AO14" s="896"/>
      <c r="AP14" s="896"/>
      <c r="AQ14" s="897"/>
      <c r="AT14" s="3479" t="str">
        <f>IF(V14="","",V14)</f>
        <v/>
      </c>
      <c r="AW14" s="3432">
        <v>0</v>
      </c>
    </row>
    <row customHeight="1" ht="14.25" hidden="1">
      <c r="E15" s="3880"/>
      <c r="F15" s="3880"/>
      <c r="G15" s="3879"/>
      <c r="U15" s="852"/>
      <c r="V15" s="853" t="s">
        <v>429</v>
      </c>
      <c r="W15" s="854"/>
      <c r="X15" s="854"/>
      <c r="Y15" s="854"/>
      <c r="Z15" s="854"/>
      <c r="AA15" s="854"/>
      <c r="AB15" s="854"/>
      <c r="AC15" s="854"/>
      <c r="AD15" s="854"/>
      <c r="AE15" s="854"/>
      <c r="AF15" s="854"/>
      <c r="AG15" s="854"/>
      <c r="AH15" s="854"/>
      <c r="AI15" s="854"/>
      <c r="AJ15" s="854"/>
      <c r="AK15" s="854"/>
      <c r="AL15" s="854"/>
      <c r="AM15" s="854"/>
      <c r="AN15" s="854"/>
      <c r="AO15" s="854"/>
      <c r="AP15" s="854"/>
      <c r="AQ15" s="854"/>
      <c r="AT15" s="3479" t="str">
        <f>IF(V15="","",V15)</f>
        <v>Добавить источник для дифференциации</v>
      </c>
      <c r="AW15" s="3473">
        <v>0</v>
      </c>
    </row>
    <row customHeight="1" ht="14.25" hidden="1">
      <c r="E16" s="3880"/>
      <c r="F16" s="3879"/>
      <c r="V16" s="855" t="s">
        <v>430</v>
      </c>
      <c r="AT16" s="3479" t="str">
        <f>IF(V16="","",V16)</f>
        <v>Добавить централизованную систему для дифференциации</v>
      </c>
      <c r="AW16" s="3473">
        <v>0</v>
      </c>
    </row>
    <row customHeight="1" ht="14.25" hidden="1">
      <c r="E17" s="3879"/>
      <c r="V17" s="856" t="s">
        <v>431</v>
      </c>
      <c r="AT17" s="3479" t="str">
        <f>IF(V17="","",V17)</f>
        <v>Добавить территорию для дифференциации</v>
      </c>
      <c r="AW17" s="3473">
        <v>0</v>
      </c>
    </row>
    <row customHeight="1" ht="14.25" hidden="1">
      <c r="AW18" s="3432">
        <v>0</v>
      </c>
    </row>
    <row customHeight="1" ht="14.25" hidden="1">
      <c r="AG19" s="719"/>
      <c r="AH19" s="719"/>
      <c r="AI19" s="719"/>
      <c r="AJ19" s="719"/>
      <c r="AK19" s="857"/>
      <c r="AL19" s="858"/>
      <c r="AM19" s="616" t="s">
        <v>61</v>
      </c>
      <c r="AN19" s="858"/>
      <c r="AO19" s="616" t="s">
        <v>61</v>
      </c>
      <c r="AW19" s="3432">
        <v>0</v>
      </c>
    </row>
    <row customHeight="1" ht="14.25" hidden="1">
      <c r="AG20" s="719"/>
      <c r="AH20" s="719"/>
      <c r="AI20" s="719"/>
      <c r="AJ20" s="719"/>
      <c r="AK20" s="857"/>
      <c r="AL20" s="858"/>
      <c r="AM20" s="616"/>
      <c r="AN20" s="858"/>
      <c r="AO20" s="616"/>
      <c r="AW20" s="3432">
        <v>0</v>
      </c>
    </row>
    <row customHeight="1" ht="14.25" hidden="1">
      <c r="AG21" s="719"/>
      <c r="AH21" s="719"/>
      <c r="AI21" s="719"/>
      <c r="AJ21" s="719"/>
      <c r="AK21" s="857"/>
      <c r="AL21" s="858"/>
      <c r="AM21" s="616"/>
      <c r="AN21" s="858"/>
      <c r="AO21" s="616"/>
      <c r="AW21" s="3432">
        <v>0</v>
      </c>
    </row>
    <row customHeight="1" ht="14.25" hidden="1">
      <c r="AG22" s="719"/>
      <c r="AH22" s="719"/>
      <c r="AI22" s="719"/>
      <c r="AJ22" s="719"/>
      <c r="AK22" s="842" t="str">
        <f>AL19&amp;"-"&amp;AN19</f>
        <v>-</v>
      </c>
      <c r="AL22" s="616"/>
      <c r="AM22" s="616"/>
      <c r="AN22" s="616"/>
      <c r="AO22" s="616"/>
      <c r="AW22" s="3432">
        <v>0</v>
      </c>
    </row>
    <row customHeight="1" ht="14.25" hidden="1">
      <c r="AW23" s="3432">
        <v>0</v>
      </c>
    </row>
    <row customHeight="1" ht="22.5" hidden="1">
      <c r="P24" s="929" t="s">
        <v>432</v>
      </c>
      <c r="AC24" s="859"/>
      <c r="AE24" s="859"/>
      <c r="AL24" s="859"/>
      <c r="AN24" s="859"/>
      <c r="AW24" s="3449">
        <v>0</v>
      </c>
    </row>
    <row customHeight="1" ht="14.25" hidden="1">
      <c r="AW25" s="3449">
        <v>0</v>
      </c>
    </row>
    <row customHeight="1" ht="14.25" hidden="1">
      <c r="P26" s="3881" t="s">
        <v>433</v>
      </c>
      <c r="V26" s="3449" t="s">
        <v>434</v>
      </c>
      <c r="AD26" s="3511" t="s">
        <v>435</v>
      </c>
      <c r="AF26" s="3511" t="s">
        <v>436</v>
      </c>
      <c r="AG26" s="3449" t="s">
        <v>434</v>
      </c>
      <c r="AM26" s="3511" t="s">
        <v>437</v>
      </c>
      <c r="AO26" s="3511" t="s">
        <v>436</v>
      </c>
      <c r="AW26" s="3449">
        <v>0</v>
      </c>
    </row>
    <row customHeight="1" ht="14.25" hidden="1">
      <c r="AW27" s="3432">
        <v>0</v>
      </c>
    </row>
    <row customHeight="1" ht="14.25" hidden="1">
      <c r="AW28" s="3432">
        <v>0</v>
      </c>
    </row>
    <row customHeight="1" ht="14.699999999999998">
      <c r="R29" s="3719"/>
      <c r="S29" s="3719"/>
      <c r="T29" s="3719"/>
      <c r="U29" s="3842"/>
      <c r="V29" s="3450"/>
      <c r="W29" s="3450"/>
      <c r="AW29" s="3432">
        <v>14</v>
      </c>
    </row>
    <row customHeight="1" ht="56.699999999999996">
      <c r="R30" s="3719"/>
      <c r="S30" s="3719"/>
      <c r="T30" s="3719"/>
      <c r="U30" s="3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646"/>
      <c r="W30" s="3646"/>
      <c r="X30" s="3646"/>
      <c r="Y30" s="3646"/>
      <c r="Z30" s="3646"/>
      <c r="AA30" s="3646"/>
      <c r="AB30" s="3646"/>
      <c r="AC30" s="3646"/>
      <c r="AD30" s="3646"/>
      <c r="AE30" s="3646"/>
      <c r="AF30" s="3646"/>
      <c r="AG30" s="3646"/>
      <c r="AH30" s="3646"/>
      <c r="AI30" s="3646"/>
      <c r="AJ30" s="3646"/>
      <c r="AK30" s="3646"/>
      <c r="AL30" s="3646"/>
      <c r="AM30" s="3646"/>
      <c r="AN30" s="3646"/>
      <c r="AW30" s="3432">
        <v>54</v>
      </c>
    </row>
    <row customHeight="1" ht="14.699999999999998">
      <c r="R31" s="3719"/>
      <c r="S31" s="3719"/>
      <c r="T31" s="3719"/>
      <c r="U31" s="3554" t="str">
        <f>IF(org=0,"Не определено",org)</f>
        <v>ООО "ТеплоЭлектроГенерирующая Компания"</v>
      </c>
      <c r="V31" s="3554"/>
      <c r="W31" s="3554"/>
      <c r="X31" s="3554"/>
      <c r="Y31" s="3554"/>
      <c r="Z31" s="3554"/>
      <c r="AA31" s="3554"/>
      <c r="AB31" s="3554"/>
      <c r="AC31" s="3554"/>
      <c r="AD31" s="3554"/>
      <c r="AE31" s="3554"/>
      <c r="AF31" s="3554"/>
      <c r="AG31" s="3554"/>
      <c r="AH31" s="3554"/>
      <c r="AI31" s="3554"/>
      <c r="AJ31" s="3554"/>
      <c r="AK31" s="3554"/>
      <c r="AL31" s="3554"/>
      <c r="AM31" s="3554"/>
      <c r="AN31" s="3554"/>
      <c r="AW31" s="3432">
        <v>14</v>
      </c>
    </row>
    <row customHeight="1" ht="14.25" hidden="1">
      <c r="R32" s="3719"/>
      <c r="S32" s="3719"/>
      <c r="T32" s="3719"/>
      <c r="U32" s="3842"/>
      <c r="V32" s="3450"/>
      <c r="W32" s="3450"/>
      <c r="X32" s="3804"/>
      <c r="Y32" s="3804"/>
      <c r="Z32" s="3804"/>
      <c r="AA32" s="3804"/>
      <c r="AB32" s="3804"/>
      <c r="AC32" s="3804"/>
      <c r="AD32" s="3804"/>
      <c r="AE32" s="3804"/>
      <c r="AF32" s="3804"/>
      <c r="AG32" s="3804"/>
      <c r="AH32" s="3804"/>
      <c r="AI32" s="3804"/>
      <c r="AJ32" s="3804"/>
      <c r="AK32" s="3804"/>
      <c r="AL32" s="3804"/>
      <c r="AM32" s="3804"/>
      <c r="AN32" s="3804"/>
      <c r="AO32" s="3804"/>
      <c r="AW32" s="3432">
        <v>0</v>
      </c>
    </row>
    <row customHeight="1" ht="25.5" hidden="1">
      <c r="U33" s="3843" t="s">
        <v>41</v>
      </c>
      <c r="V33" s="3843"/>
      <c r="W33" s="3844"/>
      <c r="X33" s="3806" t="str">
        <f>IF(TITLE_NAME_OR_PR_CHANGE="",IF(TITLE_NAME_OR_PR="","",TITLE_NAME_OR_PR),TITLE_NAME_OR_PR_CHANGE)</f>
        <v/>
      </c>
      <c r="Y33" s="3806"/>
      <c r="Z33" s="3806"/>
      <c r="AA33" s="3806"/>
      <c r="AB33" s="3806"/>
      <c r="AC33" s="3806"/>
      <c r="AD33" s="3806"/>
      <c r="AE33" s="3806"/>
      <c r="AG33" s="3806" t="str">
        <f>IF(TITLE_NAME_OR_PR_CHANGE="",IF(TITLE_NAME_OR_PR="","",TITLE_NAME_OR_PR),TITLE_NAME_OR_PR_CHANGE)</f>
        <v/>
      </c>
      <c r="AH33" s="3806"/>
      <c r="AI33" s="3806"/>
      <c r="AJ33" s="3806"/>
      <c r="AK33" s="3806"/>
      <c r="AL33" s="3806"/>
      <c r="AM33" s="3806"/>
      <c r="AN33" s="3806"/>
      <c r="AW33" s="3489">
        <v>0</v>
      </c>
    </row>
    <row customHeight="1" ht="18.75" hidden="1">
      <c r="U34" s="3843" t="s">
        <v>438</v>
      </c>
      <c r="V34" s="3843"/>
      <c r="W34" s="3844"/>
      <c r="X34" s="795" t="str">
        <f>IF(TITLE_DATE_PR_CHANGE="",IF(TITLE_DATE_PR="","",TITLE_DATE_PR),TITLE_DATE_PR_CHANGE)</f>
        <v/>
      </c>
      <c r="Y34" s="795"/>
      <c r="Z34" s="795"/>
      <c r="AA34" s="795"/>
      <c r="AB34" s="795"/>
      <c r="AC34" s="795"/>
      <c r="AD34" s="795"/>
      <c r="AE34" s="795"/>
      <c r="AG34" s="795" t="str">
        <f>IF(TITLE_DATE_PR_CHANGE="",IF(TITLE_DATE_PR="","",TITLE_DATE_PR),TITLE_DATE_PR_CHANGE)</f>
        <v/>
      </c>
      <c r="AH34" s="795"/>
      <c r="AI34" s="795"/>
      <c r="AJ34" s="795"/>
      <c r="AK34" s="795"/>
      <c r="AL34" s="795"/>
      <c r="AM34" s="795"/>
      <c r="AN34" s="795"/>
      <c r="AW34" s="3489">
        <v>0</v>
      </c>
    </row>
    <row customHeight="1" ht="18.75" hidden="1">
      <c r="U35" s="3843" t="s">
        <v>439</v>
      </c>
      <c r="V35" s="3843"/>
      <c r="W35" s="3844"/>
      <c r="X35" s="3806" t="str">
        <f>IF(TITLE_NUMBER_PR_CHANGE="",IF(TITLE_NUMBER_PR="","",TITLE_NUMBER_PR),TITLE_NUMBER_PR_CHANGE)</f>
        <v/>
      </c>
      <c r="Y35" s="3806"/>
      <c r="Z35" s="3806"/>
      <c r="AA35" s="3806"/>
      <c r="AB35" s="3806"/>
      <c r="AC35" s="3806"/>
      <c r="AD35" s="3806"/>
      <c r="AE35" s="3806"/>
      <c r="AG35" s="3806" t="str">
        <f>IF(TITLE_NUMBER_PR_CHANGE="",IF(TITLE_NUMBER_PR="","",TITLE_NUMBER_PR),TITLE_NUMBER_PR_CHANGE)</f>
        <v/>
      </c>
      <c r="AH35" s="3806"/>
      <c r="AI35" s="3806"/>
      <c r="AJ35" s="3806"/>
      <c r="AK35" s="3806"/>
      <c r="AL35" s="3806"/>
      <c r="AM35" s="3806"/>
      <c r="AN35" s="3806"/>
      <c r="AW35" s="3489">
        <v>0</v>
      </c>
    </row>
    <row customHeight="1" ht="18.75" hidden="1">
      <c r="U36" s="3843" t="s">
        <v>42</v>
      </c>
      <c r="V36" s="3843"/>
      <c r="W36" s="3844"/>
      <c r="X36" s="3806" t="str">
        <f>IF(TITLE_IST_PUB_CHANGE="",IF(TITLE_IST_PUB="","",TITLE_IST_PUB),TITLE_IST_PUB_CHANGE)</f>
        <v/>
      </c>
      <c r="Y36" s="3806"/>
      <c r="Z36" s="3806"/>
      <c r="AA36" s="3806"/>
      <c r="AB36" s="3806"/>
      <c r="AC36" s="3806"/>
      <c r="AD36" s="3806"/>
      <c r="AE36" s="3806"/>
      <c r="AG36" s="3806" t="str">
        <f>IF(TITLE_IST_PUB_CHANGE="",IF(TITLE_IST_PUB="","",TITLE_IST_PUB),TITLE_IST_PUB_CHANGE)</f>
        <v/>
      </c>
      <c r="AH36" s="3806"/>
      <c r="AI36" s="3806"/>
      <c r="AJ36" s="3806"/>
      <c r="AK36" s="3806"/>
      <c r="AL36" s="3806"/>
      <c r="AM36" s="3806"/>
      <c r="AN36" s="3806"/>
      <c r="AW36" s="3489">
        <v>0</v>
      </c>
    </row>
    <row customHeight="1" ht="14.25" hidden="1">
      <c r="R37" s="3719"/>
      <c r="S37" s="3719"/>
      <c r="T37" s="3719"/>
      <c r="U37" s="3842"/>
      <c r="V37" s="3450"/>
      <c r="W37" s="3450"/>
      <c r="X37" s="3804"/>
      <c r="Y37" s="3804"/>
      <c r="Z37" s="3804"/>
      <c r="AA37" s="3804"/>
      <c r="AB37" s="3804"/>
      <c r="AC37" s="3804"/>
      <c r="AD37" s="3804"/>
      <c r="AE37" s="3804"/>
      <c r="AF37" s="3804"/>
      <c r="AG37" s="3804"/>
      <c r="AH37" s="3804"/>
      <c r="AI37" s="3804"/>
      <c r="AJ37" s="3804"/>
      <c r="AK37" s="3804"/>
      <c r="AL37" s="3804"/>
      <c r="AM37" s="3804"/>
      <c r="AN37" s="3804"/>
      <c r="AO37" s="3804"/>
      <c r="AW37" s="3432">
        <v>0</v>
      </c>
    </row>
    <row customHeight="1" ht="18.75" hidden="1">
      <c r="U38" s="3843" t="s">
        <v>440</v>
      </c>
      <c r="V38" s="3843"/>
      <c r="W38" s="3844"/>
      <c r="X38" s="795" t="str">
        <f>IF(TITLE_DATE_PR_CHANGE="",IF(TITLE_DATE_PR="","",TITLE_DATE_PR),TITLE_DATE_PR_CHANGE)</f>
        <v/>
      </c>
      <c r="Y38" s="795"/>
      <c r="Z38" s="795"/>
      <c r="AA38" s="795"/>
      <c r="AB38" s="795"/>
      <c r="AC38" s="795"/>
      <c r="AD38" s="795"/>
      <c r="AE38" s="795"/>
      <c r="AG38" s="795" t="str">
        <f>IF(TITLE_DATE_PR_CHANGE="",IF(TITLE_DATE_PR="","",TITLE_DATE_PR),TITLE_DATE_PR_CHANGE)</f>
        <v/>
      </c>
      <c r="AH38" s="795"/>
      <c r="AI38" s="795"/>
      <c r="AJ38" s="795"/>
      <c r="AK38" s="795"/>
      <c r="AL38" s="795"/>
      <c r="AM38" s="795"/>
      <c r="AN38" s="795"/>
      <c r="AW38" s="3489">
        <v>0</v>
      </c>
    </row>
    <row customHeight="1" ht="18.75" hidden="1">
      <c r="U39" s="3843" t="s">
        <v>441</v>
      </c>
      <c r="V39" s="3843"/>
      <c r="W39" s="3844"/>
      <c r="X39" s="3806" t="str">
        <f>IF(TITLE_NUMBER_PR_CHANGE="",IF(TITLE_NUMBER_PR="","",TITLE_NUMBER_PR),TITLE_NUMBER_PR_CHANGE)</f>
        <v/>
      </c>
      <c r="Y39" s="3806"/>
      <c r="Z39" s="3806"/>
      <c r="AA39" s="3806"/>
      <c r="AB39" s="3806"/>
      <c r="AC39" s="3806"/>
      <c r="AD39" s="3806"/>
      <c r="AE39" s="3806"/>
      <c r="AG39" s="3806" t="str">
        <f>IF(TITLE_NUMBER_PR_CHANGE="",IF(TITLE_NUMBER_PR="","",TITLE_NUMBER_PR),TITLE_NUMBER_PR_CHANGE)</f>
        <v/>
      </c>
      <c r="AH39" s="3806"/>
      <c r="AI39" s="3806"/>
      <c r="AJ39" s="3806"/>
      <c r="AK39" s="3806"/>
      <c r="AL39" s="3806"/>
      <c r="AM39" s="3806"/>
      <c r="AN39" s="3806"/>
      <c r="AW39" s="3489">
        <v>0</v>
      </c>
    </row>
    <row customHeight="1" ht="0">
      <c r="AF40" s="3473" t="s">
        <v>442</v>
      </c>
      <c r="AO40" s="3473" t="s">
        <v>442</v>
      </c>
      <c r="AW40" s="3489">
        <v>0</v>
      </c>
    </row>
    <row customHeight="1" ht="14.699999999999998">
      <c r="R41" s="3719"/>
      <c r="S41" s="3719"/>
      <c r="T41" s="3719"/>
      <c r="U41" s="3842"/>
      <c r="V41" s="3450"/>
      <c r="W41" s="3845"/>
      <c r="X41" s="3846"/>
      <c r="Y41" s="3846"/>
      <c r="Z41" s="3846"/>
      <c r="AA41" s="3846"/>
      <c r="AB41" s="3846"/>
      <c r="AC41" s="3846"/>
      <c r="AD41" s="3846"/>
      <c r="AE41" s="3846"/>
      <c r="AF41" s="3846"/>
      <c r="AG41" s="3846"/>
      <c r="AH41" s="3846"/>
      <c r="AI41" s="3846"/>
      <c r="AJ41" s="3846"/>
      <c r="AK41" s="3846"/>
      <c r="AL41" s="3846"/>
      <c r="AM41" s="3846"/>
      <c r="AN41" s="3846"/>
      <c r="AO41" s="3846"/>
      <c r="AW41" s="3432">
        <v>14</v>
      </c>
    </row>
    <row customHeight="1" ht="14.699999999999998">
      <c r="R42" s="3719"/>
      <c r="S42" s="3719"/>
      <c r="T42" s="3719"/>
      <c r="U42" s="3480" t="s">
        <v>315</v>
      </c>
      <c r="V42" s="3480"/>
      <c r="W42" s="3480"/>
      <c r="X42" s="3480"/>
      <c r="Y42" s="3480"/>
      <c r="Z42" s="3480"/>
      <c r="AA42" s="3480"/>
      <c r="AB42" s="3480"/>
      <c r="AC42" s="3480"/>
      <c r="AD42" s="3480"/>
      <c r="AE42" s="3480"/>
      <c r="AF42" s="3480"/>
      <c r="AG42" s="3480"/>
      <c r="AH42" s="3480"/>
      <c r="AI42" s="3480"/>
      <c r="AJ42" s="3480"/>
      <c r="AK42" s="3480"/>
      <c r="AL42" s="3480"/>
      <c r="AM42" s="3480"/>
      <c r="AN42" s="3480"/>
      <c r="AO42" s="3480"/>
      <c r="AP42" s="3480"/>
      <c r="AQ42" s="3480" t="s">
        <v>316</v>
      </c>
      <c r="AW42" s="3432">
        <v>14</v>
      </c>
    </row>
    <row customHeight="1" ht="14.699999999999998">
      <c r="R43" s="3719"/>
      <c r="S43" s="3719"/>
      <c r="T43" s="3719"/>
      <c r="U43" s="3818" t="s">
        <v>86</v>
      </c>
      <c r="V43" s="3579" t="s">
        <v>443</v>
      </c>
      <c r="W43" s="3793"/>
      <c r="X43" s="3847" t="s">
        <v>444</v>
      </c>
      <c r="Y43" s="3858"/>
      <c r="Z43" s="3858"/>
      <c r="AA43" s="3858"/>
      <c r="AB43" s="3858"/>
      <c r="AC43" s="3848"/>
      <c r="AD43" s="3848"/>
      <c r="AE43" s="3849"/>
      <c r="AF43" s="3807" t="s">
        <v>445</v>
      </c>
      <c r="AG43" s="3847" t="s">
        <v>444</v>
      </c>
      <c r="AH43" s="3858"/>
      <c r="AI43" s="3858"/>
      <c r="AJ43" s="3858"/>
      <c r="AK43" s="3858"/>
      <c r="AL43" s="3848"/>
      <c r="AM43" s="3848"/>
      <c r="AN43" s="3849"/>
      <c r="AO43" s="3807" t="s">
        <v>446</v>
      </c>
      <c r="AP43" s="868" t="s">
        <v>447</v>
      </c>
      <c r="AQ43" s="3480"/>
      <c r="AW43" s="3432">
        <v>14</v>
      </c>
    </row>
    <row customHeight="1" ht="35.699999999999996">
      <c r="R44" s="3719"/>
      <c r="S44" s="3719"/>
      <c r="T44" s="3719"/>
      <c r="U44" s="3818"/>
      <c r="V44" s="3579"/>
      <c r="W44" s="3798"/>
      <c r="X44" s="3555" t="s">
        <v>470</v>
      </c>
      <c r="Y44" s="3480" t="s">
        <v>471</v>
      </c>
      <c r="Z44" s="3480"/>
      <c r="AA44" s="3480"/>
      <c r="AB44" s="3480"/>
      <c r="AC44" s="3555" t="s">
        <v>451</v>
      </c>
      <c r="AD44" s="3886"/>
      <c r="AE44" s="3556"/>
      <c r="AF44" s="3851"/>
      <c r="AG44" s="3555" t="s">
        <v>470</v>
      </c>
      <c r="AH44" s="3480" t="s">
        <v>471</v>
      </c>
      <c r="AI44" s="3480"/>
      <c r="AJ44" s="3480"/>
      <c r="AK44" s="3480"/>
      <c r="AL44" s="3555" t="s">
        <v>451</v>
      </c>
      <c r="AM44" s="3886"/>
      <c r="AN44" s="3556"/>
      <c r="AO44" s="3851"/>
      <c r="AP44" s="871"/>
      <c r="AQ44" s="3480"/>
      <c r="AW44" s="3432">
        <v>34</v>
      </c>
    </row>
    <row customHeight="1" ht="14.699999999999998">
      <c r="R45" s="3719"/>
      <c r="S45" s="3719"/>
      <c r="T45" s="3719"/>
      <c r="U45" s="3818"/>
      <c r="V45" s="3579"/>
      <c r="W45" s="3798"/>
      <c r="X45" s="3559"/>
      <c r="Y45" s="3629" t="s">
        <v>472</v>
      </c>
      <c r="Z45" s="3626" t="s">
        <v>473</v>
      </c>
      <c r="AA45" s="3627"/>
      <c r="AB45" s="3628"/>
      <c r="AC45" s="3561"/>
      <c r="AD45" s="3887"/>
      <c r="AE45" s="3562"/>
      <c r="AF45" s="3851"/>
      <c r="AG45" s="3559"/>
      <c r="AH45" s="3629" t="s">
        <v>472</v>
      </c>
      <c r="AI45" s="3626" t="s">
        <v>473</v>
      </c>
      <c r="AJ45" s="3627"/>
      <c r="AK45" s="3628"/>
      <c r="AL45" s="3561"/>
      <c r="AM45" s="3887"/>
      <c r="AN45" s="3562"/>
      <c r="AO45" s="3851"/>
      <c r="AP45" s="871"/>
      <c r="AQ45" s="3480"/>
      <c r="AW45" s="3432">
        <v>14</v>
      </c>
    </row>
    <row customHeight="1" ht="27.299999999999997">
      <c r="R46" s="3719"/>
      <c r="S46" s="3719"/>
      <c r="T46" s="3719"/>
      <c r="U46" s="3818"/>
      <c r="V46" s="3579"/>
      <c r="W46" s="3798"/>
      <c r="X46" s="3559"/>
      <c r="Y46" s="3801"/>
      <c r="Z46" s="3629" t="s">
        <v>474</v>
      </c>
      <c r="AA46" s="3626" t="s">
        <v>475</v>
      </c>
      <c r="AB46" s="3628"/>
      <c r="AC46" s="3629" t="s">
        <v>461</v>
      </c>
      <c r="AD46" s="3630" t="s">
        <v>462</v>
      </c>
      <c r="AE46" s="3631"/>
      <c r="AF46" s="3851"/>
      <c r="AG46" s="3559"/>
      <c r="AH46" s="3801"/>
      <c r="AI46" s="3629" t="s">
        <v>474</v>
      </c>
      <c r="AJ46" s="3626" t="s">
        <v>475</v>
      </c>
      <c r="AK46" s="3628"/>
      <c r="AL46" s="3629" t="s">
        <v>461</v>
      </c>
      <c r="AM46" s="3630" t="s">
        <v>462</v>
      </c>
      <c r="AN46" s="3631"/>
      <c r="AO46" s="3851"/>
      <c r="AP46" s="871"/>
      <c r="AQ46" s="3480"/>
      <c r="AW46" s="3432">
        <v>26</v>
      </c>
    </row>
    <row customHeight="1" ht="65.25">
      <c r="B47" s="3510" t="s">
        <v>153</v>
      </c>
      <c r="C47" s="3510" t="s">
        <v>154</v>
      </c>
      <c r="D47" s="3510" t="s">
        <v>155</v>
      </c>
      <c r="E47" s="3881" t="s">
        <v>452</v>
      </c>
      <c r="F47" s="3881" t="s">
        <v>453</v>
      </c>
      <c r="G47" s="3881" t="s">
        <v>454</v>
      </c>
      <c r="H47" s="3881" t="s">
        <v>455</v>
      </c>
      <c r="I47" s="3881" t="s">
        <v>456</v>
      </c>
      <c r="J47" s="3881" t="s">
        <v>457</v>
      </c>
      <c r="K47" s="3881" t="s">
        <v>458</v>
      </c>
      <c r="L47" s="3881" t="s">
        <v>476</v>
      </c>
      <c r="M47" s="3881" t="s">
        <v>433</v>
      </c>
      <c r="R47" s="3719"/>
      <c r="S47" s="3719"/>
      <c r="T47" s="3719"/>
      <c r="U47" s="3818"/>
      <c r="V47" s="3579"/>
      <c r="W47" s="3852"/>
      <c r="X47" s="3561"/>
      <c r="Y47" s="3632"/>
      <c r="Z47" s="3632"/>
      <c r="AA47" s="3525" t="s">
        <v>477</v>
      </c>
      <c r="AB47" s="3525" t="s">
        <v>478</v>
      </c>
      <c r="AC47" s="3632"/>
      <c r="AD47" s="3633"/>
      <c r="AE47" s="3634"/>
      <c r="AF47" s="3810"/>
      <c r="AG47" s="3561"/>
      <c r="AH47" s="3632"/>
      <c r="AI47" s="3632"/>
      <c r="AJ47" s="3525" t="s">
        <v>477</v>
      </c>
      <c r="AK47" s="3525" t="s">
        <v>478</v>
      </c>
      <c r="AL47" s="3632"/>
      <c r="AM47" s="3633"/>
      <c r="AN47" s="3634"/>
      <c r="AO47" s="3810"/>
      <c r="AP47" s="873"/>
      <c r="AQ47" s="3480"/>
      <c r="AW47" s="3432">
        <v>62</v>
      </c>
    </row>
    <row customHeight="1" ht="11.25" hidden="1">
      <c r="R48" s="3853"/>
      <c r="S48" s="3854">
        <v>1</v>
      </c>
      <c r="T48" s="3854"/>
      <c r="U48" s="876" t="s">
        <v>107</v>
      </c>
      <c r="V48" s="877" t="s">
        <v>108</v>
      </c>
      <c r="W48" s="3855" t="str">
        <f>OFFSET(W48,0,-1)</f>
        <v>2</v>
      </c>
      <c r="X48" s="3856">
        <f>OFFSET(X48,0,-1)+1</f>
        <v>3</v>
      </c>
      <c r="Y48" s="3636"/>
      <c r="Z48" s="3636"/>
      <c r="AA48" s="3636">
        <f>OFFSET(AA48,0,-1)+1</f>
        <v>1</v>
      </c>
      <c r="AB48" s="3636">
        <f>OFFSET(AB48,0,-1)+1</f>
        <v>2</v>
      </c>
      <c r="AC48" s="3856">
        <f>OFFSET(AC48,0,-1)+1</f>
        <v>3</v>
      </c>
      <c r="AD48" s="3856">
        <f>OFFSET(AD48,0,-1)+1</f>
        <v>4</v>
      </c>
      <c r="AE48" s="3856"/>
      <c r="AF48" s="3856">
        <f>OFFSET(AF48,0,-2)+1</f>
        <v>5</v>
      </c>
      <c r="AG48" s="3856">
        <f>OFFSET(AG48,0,-1)+1</f>
        <v>6</v>
      </c>
      <c r="AH48" s="3856"/>
      <c r="AI48" s="3856"/>
      <c r="AJ48" s="3856">
        <f>OFFSET(AJ48,0,-1)+1</f>
        <v>1</v>
      </c>
      <c r="AK48" s="3856">
        <f>OFFSET(AK48,0,-1)+1</f>
        <v>2</v>
      </c>
      <c r="AL48" s="3856">
        <f>OFFSET(AL48,0,-1)+1</f>
        <v>3</v>
      </c>
      <c r="AM48" s="3856">
        <f>OFFSET(AM48,0,-1)+1</f>
        <v>4</v>
      </c>
      <c r="AN48" s="3856"/>
      <c r="AO48" s="3856">
        <f>OFFSET(AO48,0,-2)+1</f>
        <v>5</v>
      </c>
      <c r="AP48" s="3855">
        <f>OFFSET(AP48,0,-1)</f>
        <v>5</v>
      </c>
      <c r="AQ48" s="3856">
        <f>OFFSET(AQ48,0,-1)+1</f>
        <v>6</v>
      </c>
      <c r="AW48" s="3637">
        <v>0</v>
      </c>
    </row>
    <row customHeight="1" ht="22.049999999999997">
      <c r="A49" s="3534" t="s">
        <v>191</v>
      </c>
      <c r="E49" s="3879">
        <v>1</v>
      </c>
      <c r="T49" s="816"/>
      <c r="U49" s="3818">
        <f>INDEX(PT_DIFFERENTIATION_NUM_NTAR,MATCH(A49,PT_DIFFERENTIATION_NTAR_ID,0))</f>
        <v>0</v>
      </c>
      <c r="V49" s="3764" t="s">
        <v>141</v>
      </c>
      <c r="W49" s="3819"/>
      <c r="X49" s="3820"/>
      <c r="Y49" s="3821"/>
      <c r="Z49" s="3821"/>
      <c r="AA49" s="3821"/>
      <c r="AB49" s="3821"/>
      <c r="AC49" s="3821"/>
      <c r="AD49" s="3821"/>
      <c r="AE49" s="3821"/>
      <c r="AF49" s="3822"/>
      <c r="AG49" s="3820" t="str">
        <f>INDEX(PT_DIFFERENTIATION_NTAR,MATCH(A49,PT_DIFFERENTIATION_NTAR_ID,0))</f>
        <v/>
      </c>
      <c r="AH49" s="3821"/>
      <c r="AI49" s="3821"/>
      <c r="AJ49" s="3821"/>
      <c r="AK49" s="3821"/>
      <c r="AL49" s="3821"/>
      <c r="AM49" s="3821"/>
      <c r="AN49" s="3821"/>
      <c r="AO49" s="3821"/>
      <c r="AP49" s="3822"/>
      <c r="AQ49" s="38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3479" t="str">
        <f>IF(V49="","",V49)</f>
        <v>Наименование тарифа</v>
      </c>
      <c r="AW49" s="3432">
        <v>21</v>
      </c>
    </row>
    <row customHeight="1" ht="22.049999999999997">
      <c r="A50" s="3534" t="s">
        <v>191</v>
      </c>
      <c r="B50" s="3534" t="s">
        <v>192</v>
      </c>
      <c r="E50" s="3880"/>
      <c r="F50" s="3879">
        <v>1</v>
      </c>
      <c r="R50" s="3825"/>
      <c r="T50" s="3826"/>
      <c r="U50" s="3818" t="str">
        <f>INDEX(PT_DIFFERENTIATION_NUM_TER,MATCH(B50,PT_DIFFERENTIATION_TER_ID,0))</f>
        <v>.</v>
      </c>
      <c r="V50" s="3827" t="s">
        <v>412</v>
      </c>
      <c r="W50" s="3819"/>
      <c r="X50" s="3820"/>
      <c r="Y50" s="3821"/>
      <c r="Z50" s="3821"/>
      <c r="AA50" s="3821"/>
      <c r="AB50" s="3821"/>
      <c r="AC50" s="3821"/>
      <c r="AD50" s="3821"/>
      <c r="AE50" s="3821"/>
      <c r="AF50" s="3822"/>
      <c r="AG50" s="3820" t="str">
        <f>INDEX(PT_DIFFERENTIATION_TER,MATCH(B50,PT_DIFFERENTIATION_TER_ID,0))</f>
        <v/>
      </c>
      <c r="AH50" s="3821"/>
      <c r="AI50" s="3821"/>
      <c r="AJ50" s="3821"/>
      <c r="AK50" s="3821"/>
      <c r="AL50" s="3821"/>
      <c r="AM50" s="3821"/>
      <c r="AN50" s="3821"/>
      <c r="AO50" s="3821"/>
      <c r="AP50" s="3822"/>
      <c r="AQ50" s="3823" t="s">
        <v>413</v>
      </c>
      <c r="AT50" s="3479" t="str">
        <f>IF(V50="","",V50)</f>
        <v>Территория действия тарифа</v>
      </c>
      <c r="AW50" s="3432">
        <v>21</v>
      </c>
    </row>
    <row customHeight="1" ht="24">
      <c r="A51" s="3534" t="s">
        <v>191</v>
      </c>
      <c r="B51" s="3534" t="s">
        <v>192</v>
      </c>
      <c r="C51" s="3534" t="s">
        <v>193</v>
      </c>
      <c r="E51" s="3880"/>
      <c r="F51" s="3880"/>
      <c r="G51" s="3879">
        <v>1</v>
      </c>
      <c r="R51" s="3825"/>
      <c r="T51" s="3826"/>
      <c r="U51" s="3818" t="str">
        <f>INDEX(PT_DIFFERENTIATION_NUM_CS,MATCH(C51,PT_DIFFERENTIATION_CS_ID,0))</f>
        <v>..</v>
      </c>
      <c r="V51" s="3828" t="s">
        <v>414</v>
      </c>
      <c r="W51" s="3819"/>
      <c r="X51" s="3820"/>
      <c r="Y51" s="3821"/>
      <c r="Z51" s="3821"/>
      <c r="AA51" s="3821"/>
      <c r="AB51" s="3821"/>
      <c r="AC51" s="3821"/>
      <c r="AD51" s="3821"/>
      <c r="AE51" s="3821"/>
      <c r="AF51" s="3822"/>
      <c r="AG51" s="3820" t="str">
        <f>INDEX(PT_DIFFERENTIATION_CS,MATCH(C51,PT_DIFFERENTIATION_CS_ID,0))</f>
        <v/>
      </c>
      <c r="AH51" s="3821"/>
      <c r="AI51" s="3821"/>
      <c r="AJ51" s="3821"/>
      <c r="AK51" s="3821"/>
      <c r="AL51" s="3821"/>
      <c r="AM51" s="3821"/>
      <c r="AN51" s="3821"/>
      <c r="AO51" s="3821"/>
      <c r="AP51" s="3822"/>
      <c r="AQ51" s="3823" t="s">
        <v>415</v>
      </c>
      <c r="AT51" s="3479" t="str">
        <f>IF(V51="","",V51)</f>
        <v>Наименование системы теплоснабжения </v>
      </c>
      <c r="AW51" s="3432">
        <v>23</v>
      </c>
    </row>
    <row customHeight="1" ht="22.049999999999997">
      <c r="A52" s="3534" t="s">
        <v>191</v>
      </c>
      <c r="B52" s="3534" t="s">
        <v>192</v>
      </c>
      <c r="C52" s="3534" t="s">
        <v>193</v>
      </c>
      <c r="D52" s="3534" t="s">
        <v>194</v>
      </c>
      <c r="E52" s="3880"/>
      <c r="F52" s="3880"/>
      <c r="G52" s="3880"/>
      <c r="H52" s="3879">
        <v>1</v>
      </c>
      <c r="R52" s="3825"/>
      <c r="T52" s="3826"/>
      <c r="U52" s="3818" t="str">
        <f>INDEX(PT_DIFFERENTIATION_NUM_IST_TE,MATCH(D52,PT_DIFFERENTIATION_IST_TE_ID,0))</f>
        <v>...</v>
      </c>
      <c r="V52" s="3829" t="s">
        <v>416</v>
      </c>
      <c r="W52" s="3819"/>
      <c r="X52" s="3820"/>
      <c r="Y52" s="3821"/>
      <c r="Z52" s="3821"/>
      <c r="AA52" s="3821"/>
      <c r="AB52" s="3821"/>
      <c r="AC52" s="3821"/>
      <c r="AD52" s="3821"/>
      <c r="AE52" s="3821"/>
      <c r="AF52" s="3822"/>
      <c r="AG52" s="3820" t="str">
        <f>INDEX(PT_DIFFERENTIATION_IST_TE,MATCH(D52,PT_DIFFERENTIATION_IST_TE_ID,0))</f>
        <v/>
      </c>
      <c r="AH52" s="3821"/>
      <c r="AI52" s="3821"/>
      <c r="AJ52" s="3821"/>
      <c r="AK52" s="3821"/>
      <c r="AL52" s="3821"/>
      <c r="AM52" s="3821"/>
      <c r="AN52" s="3821"/>
      <c r="AO52" s="3821"/>
      <c r="AP52" s="3822"/>
      <c r="AQ52" s="3823" t="s">
        <v>417</v>
      </c>
      <c r="AT52" s="3479" t="str">
        <f>IF(V52="","",V52)</f>
        <v>Источник тепловой энергии  </v>
      </c>
      <c r="AW52" s="3432">
        <v>21</v>
      </c>
    </row>
    <row customHeight="1" ht="0">
      <c r="A53" s="3888" t="s">
        <v>191</v>
      </c>
      <c r="B53" s="3888" t="s">
        <v>192</v>
      </c>
      <c r="C53" s="3888" t="s">
        <v>193</v>
      </c>
      <c r="D53" s="3888" t="s">
        <v>194</v>
      </c>
      <c r="E53" s="3880"/>
      <c r="F53" s="3880"/>
      <c r="G53" s="3880"/>
      <c r="H53" s="3880"/>
      <c r="I53" s="3480" t="str">
        <f>U52&amp;".1"</f>
        <v>....1</v>
      </c>
      <c r="M53" s="3889" t="s">
        <v>418</v>
      </c>
      <c r="Q53" s="3471">
        <v>1</v>
      </c>
      <c r="T53" s="3831"/>
      <c r="U53" s="3582"/>
      <c r="V53" s="3860"/>
      <c r="W53" s="3861"/>
      <c r="X53" s="3862"/>
      <c r="Y53" s="3863"/>
      <c r="Z53" s="3863"/>
      <c r="AA53" s="3863"/>
      <c r="AB53" s="3863"/>
      <c r="AC53" s="3863"/>
      <c r="AD53" s="3863"/>
      <c r="AE53" s="3863"/>
      <c r="AF53" s="3864"/>
      <c r="AG53" s="3862"/>
      <c r="AH53" s="3863"/>
      <c r="AI53" s="3863"/>
      <c r="AJ53" s="3863"/>
      <c r="AK53" s="3863"/>
      <c r="AL53" s="3863"/>
      <c r="AM53" s="3863"/>
      <c r="AN53" s="3863"/>
      <c r="AO53" s="3863"/>
      <c r="AP53" s="3864"/>
      <c r="AQ53" s="3865"/>
      <c r="AT53" s="3479" t="str">
        <f>IF(V53="","",V53)</f>
        <v/>
      </c>
      <c r="AW53" s="3473">
        <v>0</v>
      </c>
    </row>
    <row customHeight="1" ht="22.049999999999997">
      <c r="A54" s="3534" t="s">
        <v>191</v>
      </c>
      <c r="B54" s="3534" t="s">
        <v>192</v>
      </c>
      <c r="C54" s="3534" t="s">
        <v>193</v>
      </c>
      <c r="D54" s="3534" t="s">
        <v>194</v>
      </c>
      <c r="E54" s="3880"/>
      <c r="F54" s="3880"/>
      <c r="G54" s="3880"/>
      <c r="H54" s="3880"/>
      <c r="I54" s="3437"/>
      <c r="J54" s="3480" t="str">
        <f>I53&amp;".1"</f>
        <v>....1.1</v>
      </c>
      <c r="M54" s="3881" t="s">
        <v>421</v>
      </c>
      <c r="R54" s="3471">
        <v>1</v>
      </c>
      <c r="T54" s="3836"/>
      <c r="U54" s="3818" t="str">
        <f>$J54</f>
        <v>....1.1</v>
      </c>
      <c r="V54" s="3837" t="s">
        <v>422</v>
      </c>
      <c r="W54" s="3819"/>
      <c r="X54" s="3638"/>
      <c r="Y54" s="3833"/>
      <c r="Z54" s="3833"/>
      <c r="AA54" s="3833"/>
      <c r="AB54" s="3833"/>
      <c r="AC54" s="3643"/>
      <c r="AD54" s="3643"/>
      <c r="AE54" s="3643"/>
      <c r="AF54" s="3882"/>
      <c r="AG54" s="3638"/>
      <c r="AH54" s="3833"/>
      <c r="AI54" s="3833"/>
      <c r="AJ54" s="3833"/>
      <c r="AK54" s="3833"/>
      <c r="AL54" s="3833"/>
      <c r="AM54" s="3833"/>
      <c r="AN54" s="3833"/>
      <c r="AO54" s="3833"/>
      <c r="AP54" s="3834"/>
      <c r="AQ54" s="3823" t="s">
        <v>423</v>
      </c>
      <c r="AT54" s="3479" t="str">
        <f>IF(V54="","",V54)</f>
        <v>Группа потребителей</v>
      </c>
      <c r="AW54" s="3432">
        <v>21</v>
      </c>
    </row>
    <row customHeight="1" ht="22.049999999999997">
      <c r="A55" s="3534" t="s">
        <v>191</v>
      </c>
      <c r="B55" s="3534" t="s">
        <v>192</v>
      </c>
      <c r="C55" s="3534" t="s">
        <v>193</v>
      </c>
      <c r="D55" s="3534" t="s">
        <v>194</v>
      </c>
      <c r="E55" s="3880"/>
      <c r="F55" s="3880"/>
      <c r="G55" s="3880"/>
      <c r="H55" s="3880"/>
      <c r="I55" s="3437"/>
      <c r="J55" s="3437"/>
      <c r="K55" s="3480" t="str">
        <f>J54&amp;".1"</f>
        <v>....1.1.1</v>
      </c>
      <c r="M55" s="3881" t="s">
        <v>424</v>
      </c>
      <c r="S55" s="3473">
        <v>1</v>
      </c>
      <c r="T55" s="3836"/>
      <c r="U55" s="3818" t="str">
        <f>$K55</f>
        <v>....1.1.1</v>
      </c>
      <c r="V55" s="3838"/>
      <c r="W55" s="3819"/>
      <c r="X55" s="838"/>
      <c r="Y55" s="838"/>
      <c r="Z55" s="838"/>
      <c r="AA55" s="838"/>
      <c r="AB55" s="918"/>
      <c r="AC55" s="572"/>
      <c r="AD55" s="210" t="s">
        <v>61</v>
      </c>
      <c r="AE55" s="572"/>
      <c r="AF55" s="210" t="s">
        <v>61</v>
      </c>
      <c r="AG55" s="919"/>
      <c r="AH55" s="838"/>
      <c r="AI55" s="838"/>
      <c r="AJ55" s="838"/>
      <c r="AK55" s="840"/>
      <c r="AL55" s="572"/>
      <c r="AM55" s="210" t="s">
        <v>61</v>
      </c>
      <c r="AN55" s="572"/>
      <c r="AO55" s="210" t="s">
        <v>61</v>
      </c>
      <c r="AP55" s="882"/>
      <c r="AQ55" s="3883" t="s">
        <v>467</v>
      </c>
      <c r="AR55" s="3473">
        <f>STRCHECKDATE(X57:AP57)</f>
      </c>
      <c r="AT55" s="3479" t="str">
        <f>IF(V55="","",V55)</f>
        <v/>
      </c>
      <c r="AW55" s="3432">
        <v>21</v>
      </c>
    </row>
    <row customHeight="1" ht="11.549999999999999">
      <c r="A56" s="3534" t="s">
        <v>191</v>
      </c>
      <c r="B56" s="3534" t="s">
        <v>192</v>
      </c>
      <c r="C56" s="3534" t="s">
        <v>193</v>
      </c>
      <c r="D56" s="3534" t="s">
        <v>194</v>
      </c>
      <c r="E56" s="3880"/>
      <c r="F56" s="3880"/>
      <c r="G56" s="3880"/>
      <c r="H56" s="3880"/>
      <c r="I56" s="3437"/>
      <c r="J56" s="3437"/>
      <c r="K56" s="3437"/>
      <c r="L56" s="3480" t="str">
        <f>K55&amp;".1"</f>
        <v>....1.1.1.1</v>
      </c>
      <c r="S56" s="3473">
        <v>1</v>
      </c>
      <c r="T56" s="3836"/>
      <c r="U56" s="3818" t="str">
        <f>$L56</f>
        <v>....1.1.1.1</v>
      </c>
      <c r="V56" s="3884"/>
      <c r="W56" s="3819"/>
      <c r="X56" s="839"/>
      <c r="Y56" s="838"/>
      <c r="Z56" s="838"/>
      <c r="AA56" s="838"/>
      <c r="AB56" s="918"/>
      <c r="AC56" s="573"/>
      <c r="AD56" s="210"/>
      <c r="AE56" s="573"/>
      <c r="AF56" s="210"/>
      <c r="AG56" s="919"/>
      <c r="AH56" s="838"/>
      <c r="AI56" s="838"/>
      <c r="AJ56" s="838"/>
      <c r="AK56" s="840"/>
      <c r="AL56" s="573"/>
      <c r="AM56" s="210"/>
      <c r="AN56" s="573"/>
      <c r="AO56" s="210"/>
      <c r="AP56" s="882"/>
      <c r="AQ56" s="3839" t="s">
        <v>468</v>
      </c>
      <c r="AR56" s="3473">
        <f>STRCHECKDATE(X58:AP58)</f>
      </c>
      <c r="AT56" s="3479" t="str">
        <f>IF(V56="","",V56)</f>
        <v/>
      </c>
      <c r="AW56" s="3432">
        <v>11</v>
      </c>
    </row>
    <row customHeight="1" ht="0">
      <c r="A57" s="3534" t="s">
        <v>191</v>
      </c>
      <c r="B57" s="3534" t="s">
        <v>192</v>
      </c>
      <c r="C57" s="3534" t="s">
        <v>193</v>
      </c>
      <c r="D57" s="3534" t="s">
        <v>194</v>
      </c>
      <c r="E57" s="3880"/>
      <c r="F57" s="3880"/>
      <c r="G57" s="3880"/>
      <c r="H57" s="3880"/>
      <c r="I57" s="3437"/>
      <c r="J57" s="3437"/>
      <c r="K57" s="3437"/>
      <c r="L57" s="3480"/>
      <c r="T57" s="3836"/>
      <c r="U57" s="421"/>
      <c r="V57" s="3819"/>
      <c r="W57" s="3819"/>
      <c r="X57" s="839"/>
      <c r="Y57" s="839"/>
      <c r="Z57" s="839"/>
      <c r="AA57" s="839"/>
      <c r="AB57" s="922" t="str">
        <f>AC55&amp;"-"&amp;AE55</f>
        <v>-</v>
      </c>
      <c r="AC57" s="573"/>
      <c r="AD57" s="210"/>
      <c r="AE57" s="573"/>
      <c r="AF57" s="210"/>
      <c r="AG57" s="923"/>
      <c r="AH57" s="839"/>
      <c r="AI57" s="839"/>
      <c r="AJ57" s="839"/>
      <c r="AK57" s="842" t="str">
        <f>AL55&amp;"-"&amp;AN55</f>
        <v>-</v>
      </c>
      <c r="AL57" s="573"/>
      <c r="AM57" s="210"/>
      <c r="AN57" s="573"/>
      <c r="AO57" s="210"/>
      <c r="AP57" s="884"/>
      <c r="AQ57" s="3840"/>
      <c r="AT57" s="3479" t="str">
        <f>IF(V57="","",V57)</f>
        <v/>
      </c>
      <c r="AW57" s="3432">
        <v>0</v>
      </c>
    </row>
    <row customHeight="1" ht="11.549999999999999">
      <c r="A58" s="3534" t="s">
        <v>191</v>
      </c>
      <c r="B58" s="3534" t="s">
        <v>192</v>
      </c>
      <c r="C58" s="3534" t="s">
        <v>193</v>
      </c>
      <c r="D58" s="3534" t="s">
        <v>194</v>
      </c>
      <c r="E58" s="3880"/>
      <c r="F58" s="3880"/>
      <c r="G58" s="3880"/>
      <c r="H58" s="3880"/>
      <c r="I58" s="3437"/>
      <c r="J58" s="3437"/>
      <c r="K58" s="3480"/>
      <c r="T58" s="3831"/>
      <c r="U58" s="844"/>
      <c r="V58" s="845" t="s">
        <v>469</v>
      </c>
      <c r="W58" s="200"/>
      <c r="X58" s="200"/>
      <c r="Y58" s="200"/>
      <c r="Z58" s="200"/>
      <c r="AA58" s="200"/>
      <c r="AB58" s="200"/>
      <c r="AC58" s="573"/>
      <c r="AD58" s="210"/>
      <c r="AE58" s="573"/>
      <c r="AF58" s="210"/>
      <c r="AG58" s="200"/>
      <c r="AH58" s="200"/>
      <c r="AI58" s="200"/>
      <c r="AJ58" s="200"/>
      <c r="AK58" s="200"/>
      <c r="AL58" s="573"/>
      <c r="AM58" s="210"/>
      <c r="AN58" s="573"/>
      <c r="AO58" s="210"/>
      <c r="AP58" s="846"/>
      <c r="AQ58" s="3840"/>
      <c r="AT58" s="3479" t="str">
        <f>IF(V58="","",V58)</f>
        <v>Добавить наименование поставщика</v>
      </c>
      <c r="AW58" s="3432">
        <v>11</v>
      </c>
    </row>
    <row customHeight="1" ht="11.549999999999999">
      <c r="A59" s="3534" t="s">
        <v>191</v>
      </c>
      <c r="B59" s="3534" t="s">
        <v>192</v>
      </c>
      <c r="C59" s="3534" t="s">
        <v>193</v>
      </c>
      <c r="D59" s="3534" t="s">
        <v>194</v>
      </c>
      <c r="E59" s="3880"/>
      <c r="F59" s="3880"/>
      <c r="G59" s="3880"/>
      <c r="H59" s="3880"/>
      <c r="I59" s="3437"/>
      <c r="J59" s="3480"/>
      <c r="T59" s="3831"/>
      <c r="U59" s="844"/>
      <c r="V59" s="848" t="s">
        <v>426</v>
      </c>
      <c r="W59" s="200"/>
      <c r="X59" s="200"/>
      <c r="Y59" s="200"/>
      <c r="Z59" s="200"/>
      <c r="AA59" s="200"/>
      <c r="AB59" s="200"/>
      <c r="AC59" s="928"/>
      <c r="AD59" s="928"/>
      <c r="AE59" s="928"/>
      <c r="AF59" s="928"/>
      <c r="AG59" s="200"/>
      <c r="AH59" s="200"/>
      <c r="AI59" s="200"/>
      <c r="AJ59" s="200"/>
      <c r="AK59" s="200"/>
      <c r="AL59" s="200"/>
      <c r="AM59" s="200"/>
      <c r="AN59" s="200"/>
      <c r="AO59" s="200"/>
      <c r="AP59" s="846"/>
      <c r="AQ59" s="3841"/>
      <c r="AT59" s="3479" t="str">
        <f>IF(V59="","",V59)</f>
        <v>Добавить вид теплоносителя (параметры теплоносителя)</v>
      </c>
      <c r="AW59" s="3432">
        <v>11</v>
      </c>
    </row>
    <row customHeight="1" ht="11.549999999999999">
      <c r="A60" s="3534" t="s">
        <v>191</v>
      </c>
      <c r="B60" s="3534" t="s">
        <v>192</v>
      </c>
      <c r="C60" s="3534" t="s">
        <v>193</v>
      </c>
      <c r="D60" s="3534" t="s">
        <v>194</v>
      </c>
      <c r="E60" s="3880"/>
      <c r="F60" s="3880"/>
      <c r="G60" s="3880"/>
      <c r="H60" s="3880"/>
      <c r="I60" s="3480"/>
      <c r="T60" s="3831"/>
      <c r="U60" s="844"/>
      <c r="V60" s="851" t="s">
        <v>427</v>
      </c>
      <c r="W60" s="200"/>
      <c r="X60" s="200"/>
      <c r="Y60" s="200"/>
      <c r="Z60" s="200"/>
      <c r="AA60" s="200"/>
      <c r="AB60" s="200"/>
      <c r="AC60" s="200"/>
      <c r="AD60" s="200"/>
      <c r="AE60" s="200"/>
      <c r="AF60" s="849"/>
      <c r="AG60" s="200"/>
      <c r="AH60" s="200"/>
      <c r="AI60" s="200"/>
      <c r="AJ60" s="200"/>
      <c r="AK60" s="200"/>
      <c r="AL60" s="200"/>
      <c r="AM60" s="200"/>
      <c r="AN60" s="200"/>
      <c r="AO60" s="849"/>
      <c r="AP60" s="200"/>
      <c r="AQ60" s="850"/>
      <c r="AT60" s="3479" t="str">
        <f>IF(V60="","",V60)</f>
        <v>Добавить группу потребителей</v>
      </c>
      <c r="AW60" s="3432">
        <v>11</v>
      </c>
    </row>
    <row customHeight="1" ht="0">
      <c r="A61" s="3534" t="s">
        <v>191</v>
      </c>
      <c r="B61" s="3534" t="s">
        <v>192</v>
      </c>
      <c r="C61" s="3534" t="s">
        <v>193</v>
      </c>
      <c r="D61" s="3534" t="s">
        <v>194</v>
      </c>
      <c r="E61" s="3880"/>
      <c r="F61" s="3880"/>
      <c r="G61" s="3880"/>
      <c r="H61" s="3879"/>
      <c r="S61" s="816"/>
      <c r="U61" s="894"/>
      <c r="V61" s="895"/>
      <c r="W61" s="896"/>
      <c r="X61" s="896"/>
      <c r="Y61" s="896"/>
      <c r="Z61" s="896"/>
      <c r="AA61" s="896"/>
      <c r="AB61" s="896"/>
      <c r="AC61" s="896"/>
      <c r="AD61" s="896"/>
      <c r="AE61" s="896"/>
      <c r="AF61" s="896"/>
      <c r="AG61" s="896"/>
      <c r="AH61" s="896"/>
      <c r="AI61" s="896"/>
      <c r="AJ61" s="896"/>
      <c r="AK61" s="896"/>
      <c r="AL61" s="896"/>
      <c r="AM61" s="896"/>
      <c r="AN61" s="896"/>
      <c r="AO61" s="896"/>
      <c r="AP61" s="896"/>
      <c r="AQ61" s="897"/>
      <c r="AT61" s="3479" t="str">
        <f>IF(V61="","",V61)</f>
        <v/>
      </c>
      <c r="AW61" s="3432">
        <v>0</v>
      </c>
    </row>
    <row customHeight="1" ht="0">
      <c r="A62" s="3888" t="s">
        <v>191</v>
      </c>
      <c r="B62" s="3888" t="s">
        <v>192</v>
      </c>
      <c r="C62" s="3888" t="s">
        <v>193</v>
      </c>
      <c r="E62" s="3880"/>
      <c r="F62" s="3880"/>
      <c r="G62" s="3879"/>
      <c r="V62" s="856" t="s">
        <v>429</v>
      </c>
      <c r="AT62" s="3479" t="str">
        <f>IF(V62="","",V62)</f>
        <v>Добавить источник для дифференциации</v>
      </c>
      <c r="AW62" s="3473">
        <v>0</v>
      </c>
    </row>
    <row customHeight="1" ht="0">
      <c r="A63" s="3888" t="s">
        <v>191</v>
      </c>
      <c r="B63" s="3888" t="s">
        <v>192</v>
      </c>
      <c r="E63" s="3880"/>
      <c r="F63" s="3879"/>
      <c r="V63" s="856" t="s">
        <v>430</v>
      </c>
      <c r="AT63" s="3479" t="str">
        <f>IF(V63="","",V63)</f>
        <v>Добавить централизованную систему для дифференциации</v>
      </c>
      <c r="AW63" s="3473">
        <v>0</v>
      </c>
    </row>
    <row customHeight="1" ht="0">
      <c r="A64" s="3888" t="s">
        <v>191</v>
      </c>
      <c r="E64" s="3879"/>
      <c r="V64" s="856" t="s">
        <v>431</v>
      </c>
      <c r="AT64" s="3479" t="str">
        <f>IF(V64="","",V64)</f>
        <v>Добавить территорию для дифференциации</v>
      </c>
      <c r="AW64" s="3473">
        <v>0</v>
      </c>
    </row>
    <row customHeight="1" ht="4.2">
      <c r="V65" s="856" t="s">
        <v>463</v>
      </c>
      <c r="AT65" s="3479" t="str">
        <f>IF(V65="","",V65)</f>
        <v>Добавить наименование тарифа</v>
      </c>
      <c r="AW65" s="3473">
        <v>4</v>
      </c>
    </row>
    <row customHeight="1" ht="11.549999999999999">
      <c r="AW66" s="3432">
        <v>11</v>
      </c>
    </row>
    <row customHeight="1" ht="35.699999999999996">
      <c r="AW67" s="3432">
        <v>34</v>
      </c>
    </row>
    <row customHeight="1" ht="21">
      <c r="AW68" s="3432">
        <v>20</v>
      </c>
    </row>
    <row customHeight="1" ht="14.699999999999998">
      <c r="AW69" s="3432">
        <v>14</v>
      </c>
    </row>
    <row customHeight="1" ht="28.5">
      <c r="AW70" s="3432">
        <v>27</v>
      </c>
    </row>
    <row customHeight="1" ht="18.75">
      <c r="AW71" s="3432">
        <v>18</v>
      </c>
    </row>
    <row customHeight="1" ht="22.5" hidden="1">
      <c r="A72" s="3432" t="s">
        <v>80</v>
      </c>
      <c r="B72" s="3432">
        <v>0</v>
      </c>
      <c r="C72" s="3432">
        <v>0</v>
      </c>
      <c r="D72" s="3432">
        <v>0</v>
      </c>
      <c r="E72" s="3432">
        <v>0</v>
      </c>
      <c r="F72" s="3432">
        <v>0</v>
      </c>
      <c r="G72" s="3432">
        <v>0</v>
      </c>
      <c r="H72" s="3432">
        <v>0</v>
      </c>
      <c r="I72" s="3432">
        <v>0</v>
      </c>
      <c r="J72" s="3432">
        <v>0</v>
      </c>
      <c r="K72" s="3432">
        <v>0</v>
      </c>
      <c r="L72" s="3432">
        <v>0</v>
      </c>
      <c r="M72" s="3455">
        <v>0</v>
      </c>
      <c r="N72" s="782">
        <v>0</v>
      </c>
      <c r="O72" s="782">
        <v>0</v>
      </c>
      <c r="P72" s="782">
        <v>0</v>
      </c>
      <c r="Q72" s="782">
        <v>0</v>
      </c>
      <c r="R72" s="3797">
        <v>3</v>
      </c>
      <c r="S72" s="3797">
        <v>3</v>
      </c>
      <c r="T72" s="3797">
        <v>3</v>
      </c>
      <c r="U72" s="3447">
        <v>12</v>
      </c>
      <c r="V72" s="3432">
        <v>31</v>
      </c>
      <c r="W72" s="3432">
        <v>0</v>
      </c>
      <c r="X72" s="3432">
        <v>0</v>
      </c>
      <c r="Y72" s="3432">
        <v>0</v>
      </c>
      <c r="Z72" s="3432">
        <v>0</v>
      </c>
      <c r="AA72" s="3432">
        <v>0</v>
      </c>
      <c r="AB72" s="3432">
        <v>0</v>
      </c>
      <c r="AC72" s="3432">
        <v>0</v>
      </c>
      <c r="AD72" s="3432">
        <v>0</v>
      </c>
      <c r="AE72" s="3432">
        <v>0</v>
      </c>
      <c r="AF72" s="3432">
        <v>0</v>
      </c>
      <c r="AG72" s="3432">
        <v>21</v>
      </c>
      <c r="AH72" s="3432">
        <v>21</v>
      </c>
      <c r="AI72" s="3432">
        <v>21</v>
      </c>
      <c r="AJ72" s="3432">
        <v>21</v>
      </c>
      <c r="AK72" s="3432">
        <v>21</v>
      </c>
      <c r="AL72" s="3432">
        <v>11</v>
      </c>
      <c r="AM72" s="3432">
        <v>3</v>
      </c>
      <c r="AN72" s="3432">
        <v>11</v>
      </c>
      <c r="AO72" s="3432">
        <v>8</v>
      </c>
      <c r="AP72" s="3432">
        <v>4</v>
      </c>
      <c r="AQ72" s="3432">
        <v>115</v>
      </c>
      <c r="AR72" s="3473">
        <v>10</v>
      </c>
      <c r="AS72" s="3473">
        <v>10</v>
      </c>
      <c r="AT72" s="3473">
        <v>10</v>
      </c>
      <c r="AU72" s="3473">
        <v>10</v>
      </c>
      <c r="AV72" s="3473">
        <v>10</v>
      </c>
      <c r="AW72" s="343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9D3D1-D6CA-18A3-3334-E1309171E77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1.00390625" customWidth="1"/>
    <col min="21" max="21" style="7348" width="0.140625" customWidth="1"/>
    <col min="22" max="23" style="7348" width="21.7109375" hidden="1" customWidth="1"/>
    <col min="24" max="24" style="7348" width="11.7109375" hidden="1" customWidth="1"/>
    <col min="25" max="25" style="7348" width="3.7109375" hidden="1" customWidth="1"/>
    <col min="26" max="26" style="7348" width="11.7109375" hidden="1" customWidth="1"/>
    <col min="27" max="27" style="7348" width="8.57421875" hidden="1" customWidth="1"/>
    <col min="28" max="28" style="7348" width="5.421875" customWidth="1"/>
    <col min="29" max="30" style="7348" width="3.00390625" customWidth="1"/>
    <col min="31" max="31" style="7348" width="24.00390625" customWidth="1"/>
    <col min="32" max="32" style="7348" width="3.7109375" customWidth="1"/>
    <col min="33" max="34" style="7348" width="3.00390625" customWidth="1"/>
    <col min="35" max="35" style="7348" width="24.00390625" customWidth="1"/>
    <col min="36" max="36" style="7348" width="3.7109375" customWidth="1"/>
    <col min="37" max="38" style="7348" width="3.00390625" customWidth="1"/>
    <col min="39" max="39" style="7348" width="18.00390625" customWidth="1"/>
    <col min="40" max="41" style="7348" width="21.00390625" customWidth="1"/>
    <col min="42" max="42" style="7348" width="11.00390625" customWidth="1"/>
    <col min="43" max="43" style="7348" width="3.7109375" customWidth="1"/>
    <col min="44" max="44" style="7348" width="11.00390625" customWidth="1"/>
    <col min="45" max="45" style="7348" width="8.57421875" hidden="1" customWidth="1"/>
    <col min="46" max="46" style="7348" width="4.00390625" customWidth="1"/>
    <col min="47" max="47" style="7348" width="115.00390625" customWidth="1"/>
    <col min="48" max="52" style="7348" width="10.00390625" customWidth="1"/>
    <col min="53" max="53" style="7348" width="10.57421875" hidden="1"/>
  </cols>
  <sheetData>
    <row customHeight="1" ht="22.5" hidden="1">
      <c r="BA1" s="3432" t="s">
        <v>14</v>
      </c>
    </row>
    <row customHeight="1" ht="21" hidden="1">
      <c r="E2" s="3817">
        <v>1</v>
      </c>
      <c r="R2" s="816"/>
      <c r="S2" s="3818">
        <f>INDEX(PT_DIFFERENTIATION_NUM_NTAR,MATCH(A2,PT_DIFFERENTIATION_NTAR_ID,0))</f>
      </c>
      <c r="T2" s="3764" t="s">
        <v>141</v>
      </c>
      <c r="U2" s="3819"/>
      <c r="V2" s="3821"/>
      <c r="W2" s="3821"/>
      <c r="X2" s="3821"/>
      <c r="Y2" s="3821"/>
      <c r="Z2" s="3821"/>
      <c r="AA2" s="3822"/>
      <c r="AB2" s="3820">
        <f>INDEX(PT_DIFFERENTIATION_NTAR,MATCH(A2,PT_DIFFERENTIATION_NTAR_ID,0))</f>
      </c>
      <c r="AC2" s="3821"/>
      <c r="AD2" s="3821"/>
      <c r="AE2" s="3821"/>
      <c r="AF2" s="3821"/>
      <c r="AG2" s="3821"/>
      <c r="AH2" s="3821"/>
      <c r="AI2" s="3821"/>
      <c r="AJ2" s="3821"/>
      <c r="AK2" s="3821"/>
      <c r="AL2" s="3821"/>
      <c r="AM2" s="3821"/>
      <c r="AN2" s="3821"/>
      <c r="AO2" s="3821"/>
      <c r="AP2" s="3821"/>
      <c r="AQ2" s="3821"/>
      <c r="AR2" s="3821"/>
      <c r="AS2" s="3821"/>
      <c r="AT2" s="3822"/>
      <c r="AU2" s="3823" t="s">
        <v>411</v>
      </c>
      <c r="AX2" s="3479" t="str">
        <f>IF(T2="","",T2)</f>
        <v>Наименование тарифа</v>
      </c>
      <c r="BA2" s="3432">
        <v>0</v>
      </c>
    </row>
    <row customHeight="1" ht="21" hidden="1">
      <c r="E3" s="3824"/>
      <c r="F3" s="3817">
        <v>1</v>
      </c>
      <c r="Q3" s="3890"/>
      <c r="R3" s="3826"/>
      <c r="S3" s="3818">
        <f>INDEX(PT_DIFFERENTIATION_NUM_TER,MATCH(B3,PT_DIFFERENTIATION_TER_ID,0))</f>
      </c>
      <c r="T3" s="3827" t="s">
        <v>412</v>
      </c>
      <c r="U3" s="3819"/>
      <c r="V3" s="3821"/>
      <c r="W3" s="3821"/>
      <c r="X3" s="3821"/>
      <c r="Y3" s="3821"/>
      <c r="Z3" s="3821"/>
      <c r="AA3" s="3822"/>
      <c r="AB3" s="3820">
        <f>INDEX(PT_DIFFERENTIATION_TER,MATCH(B3,PT_DIFFERENTIATION_TER_ID,0))</f>
      </c>
      <c r="AC3" s="3821"/>
      <c r="AD3" s="3821"/>
      <c r="AE3" s="3821"/>
      <c r="AF3" s="3821"/>
      <c r="AG3" s="3821"/>
      <c r="AH3" s="3821"/>
      <c r="AI3" s="3821"/>
      <c r="AJ3" s="3821"/>
      <c r="AK3" s="3821"/>
      <c r="AL3" s="3821"/>
      <c r="AM3" s="3821"/>
      <c r="AN3" s="3821"/>
      <c r="AO3" s="3821"/>
      <c r="AP3" s="3821"/>
      <c r="AQ3" s="3821"/>
      <c r="AR3" s="3821"/>
      <c r="AS3" s="3821"/>
      <c r="AT3" s="3822"/>
      <c r="AU3" s="3823" t="s">
        <v>413</v>
      </c>
      <c r="AX3" s="3479" t="str">
        <f>IF(T3="","",T3)</f>
        <v>Территория действия тарифа</v>
      </c>
      <c r="BA3" s="3432">
        <v>0</v>
      </c>
    </row>
    <row customHeight="1" ht="22.5" hidden="1">
      <c r="E4" s="3824"/>
      <c r="F4" s="3824"/>
      <c r="G4" s="3817">
        <v>1</v>
      </c>
      <c r="Q4" s="3890"/>
      <c r="R4" s="3826"/>
      <c r="S4" s="3818">
        <f>INDEX(PT_DIFFERENTIATION_NUM_CS,MATCH(C4,PT_DIFFERENTIATION_CS_ID,0))</f>
      </c>
      <c r="T4" s="3828" t="s">
        <v>414</v>
      </c>
      <c r="U4" s="3819"/>
      <c r="V4" s="3821"/>
      <c r="W4" s="3821"/>
      <c r="X4" s="3821"/>
      <c r="Y4" s="3821"/>
      <c r="Z4" s="3821"/>
      <c r="AA4" s="3822"/>
      <c r="AB4" s="3820">
        <f>INDEX(PT_DIFFERENTIATION_CS,MATCH(C4,PT_DIFFERENTIATION_CS_ID,0))</f>
      </c>
      <c r="AC4" s="3821"/>
      <c r="AD4" s="3821"/>
      <c r="AE4" s="3821"/>
      <c r="AF4" s="3821"/>
      <c r="AG4" s="3821"/>
      <c r="AH4" s="3821"/>
      <c r="AI4" s="3821"/>
      <c r="AJ4" s="3821"/>
      <c r="AK4" s="3821"/>
      <c r="AL4" s="3821"/>
      <c r="AM4" s="3821"/>
      <c r="AN4" s="3821"/>
      <c r="AO4" s="3821"/>
      <c r="AP4" s="3821"/>
      <c r="AQ4" s="3821"/>
      <c r="AR4" s="3821"/>
      <c r="AS4" s="3821"/>
      <c r="AT4" s="3822"/>
      <c r="AU4" s="3823" t="s">
        <v>415</v>
      </c>
      <c r="AX4" s="3479" t="str">
        <f>IF(T4="","",T4)</f>
        <v>Наименование системы теплоснабжения </v>
      </c>
      <c r="BA4" s="3432">
        <v>0</v>
      </c>
    </row>
    <row customHeight="1" ht="21" hidden="1">
      <c r="E5" s="3824"/>
      <c r="F5" s="3824"/>
      <c r="G5" s="3824"/>
      <c r="H5" s="3817">
        <v>1</v>
      </c>
      <c r="Q5" s="3890"/>
      <c r="R5" s="3826"/>
      <c r="S5" s="3818">
        <f>INDEX(PT_DIFFERENTIATION_NUM_IST_TE,MATCH(D5,PT_DIFFERENTIATION_IST_TE_ID,0))</f>
      </c>
      <c r="T5" s="3829" t="s">
        <v>416</v>
      </c>
      <c r="U5" s="3819"/>
      <c r="V5" s="3821"/>
      <c r="W5" s="3821"/>
      <c r="X5" s="3821"/>
      <c r="Y5" s="3821"/>
      <c r="Z5" s="3821"/>
      <c r="AA5" s="3822"/>
      <c r="AB5" s="3820">
        <f>INDEX(PT_DIFFERENTIATION_IST_TE,MATCH(D5,PT_DIFFERENTIATION_IST_TE_ID,0))</f>
      </c>
      <c r="AC5" s="3821"/>
      <c r="AD5" s="3821"/>
      <c r="AE5" s="3821"/>
      <c r="AF5" s="3821"/>
      <c r="AG5" s="3821"/>
      <c r="AH5" s="3821"/>
      <c r="AI5" s="3821"/>
      <c r="AJ5" s="3821"/>
      <c r="AK5" s="3821"/>
      <c r="AL5" s="3821"/>
      <c r="AM5" s="3821"/>
      <c r="AN5" s="3821"/>
      <c r="AO5" s="3821"/>
      <c r="AP5" s="3821"/>
      <c r="AQ5" s="3821"/>
      <c r="AR5" s="3821"/>
      <c r="AS5" s="3821"/>
      <c r="AT5" s="3822"/>
      <c r="AU5" s="3823" t="s">
        <v>417</v>
      </c>
      <c r="AX5" s="3479" t="str">
        <f>IF(T5="","",T5)</f>
        <v>Источник тепловой энергии  </v>
      </c>
      <c r="BA5" s="3432">
        <v>0</v>
      </c>
    </row>
    <row customHeight="1" ht="0.75" hidden="1">
      <c r="E6" s="3824"/>
      <c r="F6" s="3824"/>
      <c r="G6" s="3824"/>
      <c r="H6" s="3824"/>
      <c r="I6" s="3711">
        <f>S5&amp;".1"</f>
      </c>
      <c r="L6" s="3866" t="s">
        <v>418</v>
      </c>
      <c r="P6" s="3471">
        <v>1</v>
      </c>
      <c r="R6" s="3831"/>
      <c r="S6" s="3582"/>
      <c r="T6" s="3860"/>
      <c r="U6" s="3861"/>
      <c r="V6" s="3863"/>
      <c r="W6" s="3863"/>
      <c r="X6" s="3863"/>
      <c r="Y6" s="3863"/>
      <c r="Z6" s="3863"/>
      <c r="AA6" s="3864"/>
      <c r="AB6" s="3862"/>
      <c r="AC6" s="3863"/>
      <c r="AD6" s="3863"/>
      <c r="AE6" s="3863"/>
      <c r="AF6" s="3863"/>
      <c r="AG6" s="3863"/>
      <c r="AH6" s="3863"/>
      <c r="AI6" s="3863"/>
      <c r="AJ6" s="3863"/>
      <c r="AK6" s="3863"/>
      <c r="AL6" s="3863"/>
      <c r="AM6" s="3863"/>
      <c r="AN6" s="3863"/>
      <c r="AO6" s="3863"/>
      <c r="AP6" s="3863"/>
      <c r="AQ6" s="3863"/>
      <c r="AR6" s="3863"/>
      <c r="AS6" s="3863"/>
      <c r="AT6" s="3864"/>
      <c r="AU6" s="3865"/>
      <c r="AX6" s="3479" t="str">
        <f>IF(T6="","",T6)</f>
        <v/>
      </c>
      <c r="BA6" s="3473">
        <v>0</v>
      </c>
    </row>
    <row customHeight="1" ht="0.75" hidden="1">
      <c r="E7" s="3824"/>
      <c r="F7" s="3824"/>
      <c r="G7" s="3824"/>
      <c r="H7" s="3824"/>
      <c r="I7" s="3835"/>
      <c r="J7" s="3711">
        <f>S5&amp;".1"</f>
      </c>
      <c r="Q7" s="3471">
        <v>1</v>
      </c>
      <c r="R7" s="3836"/>
      <c r="S7" s="3582"/>
      <c r="T7" s="3891"/>
      <c r="U7" s="3861"/>
      <c r="V7" s="3863"/>
      <c r="W7" s="3863"/>
      <c r="X7" s="3863"/>
      <c r="Y7" s="3863"/>
      <c r="Z7" s="3863"/>
      <c r="AA7" s="3864"/>
      <c r="AB7" s="3862"/>
      <c r="AC7" s="3863"/>
      <c r="AD7" s="3863"/>
      <c r="AE7" s="3863"/>
      <c r="AF7" s="3863"/>
      <c r="AG7" s="3863"/>
      <c r="AH7" s="3863"/>
      <c r="AI7" s="3863"/>
      <c r="AJ7" s="3863"/>
      <c r="AK7" s="3863"/>
      <c r="AL7" s="3863"/>
      <c r="AM7" s="3863"/>
      <c r="AN7" s="3863"/>
      <c r="AO7" s="3863"/>
      <c r="AP7" s="3863"/>
      <c r="AQ7" s="3863"/>
      <c r="AR7" s="3863"/>
      <c r="AS7" s="3863"/>
      <c r="AT7" s="3864"/>
      <c r="AU7" s="3865"/>
      <c r="AX7" s="3479" t="str">
        <f>IF(T7="","",T7)</f>
        <v/>
      </c>
      <c r="BA7" s="3473">
        <v>0</v>
      </c>
    </row>
    <row customHeight="1" ht="21" hidden="1">
      <c r="E8" s="3824"/>
      <c r="F8" s="3824"/>
      <c r="G8" s="3824"/>
      <c r="H8" s="3824"/>
      <c r="I8" s="3835"/>
      <c r="J8" s="3835"/>
      <c r="K8" s="3711">
        <f>S5&amp;".1"</f>
      </c>
      <c r="R8" s="3892">
        <v>1</v>
      </c>
      <c r="S8" s="3867">
        <f>$K8</f>
      </c>
      <c r="T8" s="937"/>
      <c r="U8" s="3819"/>
      <c r="V8" s="838"/>
      <c r="W8" s="840"/>
      <c r="X8" s="572"/>
      <c r="Y8" s="210" t="s">
        <v>61</v>
      </c>
      <c r="Z8" s="572"/>
      <c r="AA8" s="210" t="s">
        <v>61</v>
      </c>
      <c r="AB8" s="210" t="s">
        <v>19</v>
      </c>
      <c r="AC8" s="3893"/>
      <c r="AD8" s="314">
        <v>1</v>
      </c>
      <c r="AE8" s="97"/>
      <c r="AF8" s="210" t="s">
        <v>19</v>
      </c>
      <c r="AG8" s="3893"/>
      <c r="AH8" s="314">
        <v>1</v>
      </c>
      <c r="AI8" s="97"/>
      <c r="AJ8" s="210" t="s">
        <v>19</v>
      </c>
      <c r="AK8" s="3894"/>
      <c r="AL8" s="314">
        <v>1</v>
      </c>
      <c r="AM8" s="3463"/>
      <c r="AN8" s="838"/>
      <c r="AO8" s="840"/>
      <c r="AP8" s="572"/>
      <c r="AQ8" s="210" t="s">
        <v>61</v>
      </c>
      <c r="AR8" s="572"/>
      <c r="AS8" s="210" t="s">
        <v>61</v>
      </c>
      <c r="AT8" s="882"/>
      <c r="AU8" s="3839" t="s">
        <v>479</v>
      </c>
      <c r="AV8" s="3473">
        <f>STRCHECKDATE(V11:AT11)</f>
      </c>
      <c r="AX8" s="3479" t="str">
        <f>IF(T8="","",T8)</f>
        <v/>
      </c>
      <c r="BA8" s="3432">
        <v>0</v>
      </c>
    </row>
    <row customHeight="1" ht="11.25" hidden="1">
      <c r="E9" s="3824"/>
      <c r="F9" s="3824"/>
      <c r="G9" s="3824"/>
      <c r="H9" s="3824"/>
      <c r="I9" s="3835"/>
      <c r="J9" s="3835"/>
      <c r="K9" s="3711"/>
      <c r="R9" s="3892"/>
      <c r="S9" s="3895"/>
      <c r="T9" s="941"/>
      <c r="U9" s="3819"/>
      <c r="V9" s="925"/>
      <c r="W9" s="942"/>
      <c r="X9" s="572"/>
      <c r="Y9" s="210"/>
      <c r="Z9" s="572"/>
      <c r="AA9" s="210"/>
      <c r="AB9" s="210"/>
      <c r="AC9" s="3893"/>
      <c r="AD9" s="314"/>
      <c r="AE9" s="97"/>
      <c r="AF9" s="210"/>
      <c r="AG9" s="3893"/>
      <c r="AH9" s="314"/>
      <c r="AI9" s="97"/>
      <c r="AJ9" s="210"/>
      <c r="AK9" s="697"/>
      <c r="AL9" s="172"/>
      <c r="AM9" s="167" t="s">
        <v>480</v>
      </c>
      <c r="AN9" s="925"/>
      <c r="AO9" s="943"/>
      <c r="AP9" s="925"/>
      <c r="AQ9" s="925"/>
      <c r="AR9" s="925"/>
      <c r="AS9" s="925"/>
      <c r="AT9" s="944"/>
      <c r="AU9" s="3840"/>
      <c r="BA9" s="3432">
        <v>0</v>
      </c>
    </row>
    <row customHeight="1" ht="11.25" hidden="1">
      <c r="E10" s="3824"/>
      <c r="F10" s="3824"/>
      <c r="G10" s="3824"/>
      <c r="H10" s="3824"/>
      <c r="I10" s="3835"/>
      <c r="J10" s="3835"/>
      <c r="K10" s="3711"/>
      <c r="R10" s="3892"/>
      <c r="S10" s="3895"/>
      <c r="T10" s="941"/>
      <c r="U10" s="3819"/>
      <c r="V10" s="925"/>
      <c r="W10" s="942"/>
      <c r="X10" s="572"/>
      <c r="Y10" s="210"/>
      <c r="Z10" s="572"/>
      <c r="AA10" s="210"/>
      <c r="AB10" s="210"/>
      <c r="AC10" s="3893"/>
      <c r="AD10" s="314"/>
      <c r="AE10" s="97"/>
      <c r="AF10" s="210"/>
      <c r="AG10" s="945"/>
      <c r="AH10" s="167"/>
      <c r="AI10" s="167" t="s">
        <v>481</v>
      </c>
      <c r="AJ10" s="925"/>
      <c r="AK10" s="925"/>
      <c r="AL10" s="925"/>
      <c r="AM10" s="925"/>
      <c r="AN10" s="925"/>
      <c r="AO10" s="943"/>
      <c r="AP10" s="925"/>
      <c r="AQ10" s="925"/>
      <c r="AR10" s="925"/>
      <c r="AS10" s="925"/>
      <c r="AT10" s="944"/>
      <c r="AU10" s="3840"/>
      <c r="BA10" s="3432">
        <v>0</v>
      </c>
    </row>
    <row customHeight="1" ht="11.25" hidden="1">
      <c r="E11" s="3824"/>
      <c r="F11" s="3824"/>
      <c r="G11" s="3824"/>
      <c r="H11" s="3824"/>
      <c r="I11" s="3835"/>
      <c r="J11" s="3835"/>
      <c r="K11" s="3711"/>
      <c r="R11" s="3892"/>
      <c r="S11" s="3876"/>
      <c r="T11" s="946"/>
      <c r="U11" s="3819"/>
      <c r="V11" s="925"/>
      <c r="W11" s="947" t="str">
        <f>X8&amp;"-"&amp;Z8</f>
        <v>-</v>
      </c>
      <c r="X11" s="573"/>
      <c r="Y11" s="210"/>
      <c r="Z11" s="573"/>
      <c r="AA11" s="210"/>
      <c r="AB11" s="210"/>
      <c r="AC11" s="948"/>
      <c r="AD11" s="949"/>
      <c r="AE11" s="167" t="s">
        <v>482</v>
      </c>
      <c r="AF11" s="925"/>
      <c r="AG11" s="925"/>
      <c r="AH11" s="925"/>
      <c r="AI11" s="925"/>
      <c r="AJ11" s="925"/>
      <c r="AK11" s="925"/>
      <c r="AL11" s="925"/>
      <c r="AM11" s="925"/>
      <c r="AN11" s="925"/>
      <c r="AO11" s="926" t="str">
        <f>AP8&amp;"-"&amp;AR8</f>
        <v>-</v>
      </c>
      <c r="AP11" s="925"/>
      <c r="AQ11" s="925"/>
      <c r="AR11" s="925"/>
      <c r="AS11" s="925"/>
      <c r="AT11" s="884"/>
      <c r="AU11" s="3840"/>
      <c r="AX11" s="3479" t="str">
        <f>IF(T11="","",T11)</f>
        <v/>
      </c>
      <c r="BA11" s="3432">
        <v>0</v>
      </c>
    </row>
    <row customHeight="1" ht="11.25" hidden="1">
      <c r="E12" s="3824"/>
      <c r="F12" s="3824"/>
      <c r="G12" s="3824"/>
      <c r="H12" s="3824"/>
      <c r="I12" s="3835"/>
      <c r="J12" s="3711"/>
      <c r="R12" s="3831"/>
      <c r="S12" s="844"/>
      <c r="T12" s="848" t="s">
        <v>483</v>
      </c>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846"/>
      <c r="AU12" s="3841"/>
      <c r="AX12" s="3479" t="str">
        <f>IF(T12="","",T12)</f>
        <v>Добавить строку</v>
      </c>
      <c r="BA12" s="3432">
        <v>0</v>
      </c>
    </row>
    <row customHeight="1" ht="0.75" hidden="1">
      <c r="E13" s="3824"/>
      <c r="F13" s="3824"/>
      <c r="G13" s="3824"/>
      <c r="H13" s="3824"/>
      <c r="I13" s="3711"/>
      <c r="R13" s="3831"/>
      <c r="S13" s="894"/>
      <c r="T13" s="895"/>
      <c r="U13" s="896"/>
      <c r="V13" s="896"/>
      <c r="W13" s="896"/>
      <c r="X13" s="896"/>
      <c r="Y13" s="896"/>
      <c r="Z13" s="896"/>
      <c r="AA13" s="896"/>
      <c r="AB13" s="896"/>
      <c r="AC13" s="896"/>
      <c r="AD13" s="896"/>
      <c r="AE13" s="896"/>
      <c r="AF13" s="896"/>
      <c r="AG13" s="896"/>
      <c r="AH13" s="896"/>
      <c r="AI13" s="896"/>
      <c r="AJ13" s="896"/>
      <c r="AK13" s="896"/>
      <c r="AL13" s="896"/>
      <c r="AM13" s="896"/>
      <c r="AN13" s="896"/>
      <c r="AO13" s="896"/>
      <c r="AP13" s="896"/>
      <c r="AQ13" s="896"/>
      <c r="AR13" s="896"/>
      <c r="AS13" s="896"/>
      <c r="AT13" s="896"/>
      <c r="AU13" s="897"/>
      <c r="AX13" s="3479" t="str">
        <f>IF(T13="","",T13)</f>
        <v/>
      </c>
      <c r="BA13" s="3473">
        <v>0</v>
      </c>
    </row>
    <row customHeight="1" ht="0.75" hidden="1">
      <c r="E14" s="3824"/>
      <c r="F14" s="3824"/>
      <c r="G14" s="3824"/>
      <c r="H14" s="3817"/>
      <c r="R14" s="950"/>
      <c r="S14" s="894"/>
      <c r="T14" s="895"/>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7"/>
      <c r="AX14" s="3479" t="str">
        <f>IF(T14="","",T14)</f>
        <v/>
      </c>
      <c r="BA14" s="3473">
        <v>0</v>
      </c>
    </row>
    <row customHeight="1" ht="0.75" hidden="1">
      <c r="E15" s="3824"/>
      <c r="F15" s="3824"/>
      <c r="G15" s="3817"/>
      <c r="T15" s="856" t="s">
        <v>429</v>
      </c>
      <c r="AX15" s="3479" t="str">
        <f>IF(T15="","",T15)</f>
        <v>Добавить источник для дифференциации</v>
      </c>
      <c r="BA15" s="3473">
        <v>0</v>
      </c>
    </row>
    <row customHeight="1" ht="0.75" hidden="1">
      <c r="E16" s="3824"/>
      <c r="F16" s="3817"/>
      <c r="T16" s="856" t="s">
        <v>430</v>
      </c>
      <c r="AX16" s="3479" t="str">
        <f>IF(T16="","",T16)</f>
        <v>Добавить централизованную систему для дифференциации</v>
      </c>
      <c r="BA16" s="3473">
        <v>0</v>
      </c>
    </row>
    <row customHeight="1" ht="0.75" hidden="1">
      <c r="E17" s="3817"/>
      <c r="T17" s="856" t="s">
        <v>431</v>
      </c>
      <c r="AX17" s="3479" t="str">
        <f>IF(T17="","",T17)</f>
        <v>Добавить территорию для дифференциации</v>
      </c>
      <c r="BA17" s="3473">
        <v>0</v>
      </c>
    </row>
    <row customHeight="1" ht="14.25" hidden="1">
      <c r="BA18" s="3432">
        <v>0</v>
      </c>
    </row>
    <row customHeight="1" ht="14.25" hidden="1">
      <c r="AB19" s="951" t="s">
        <v>19</v>
      </c>
      <c r="AD19" s="951">
        <v>1</v>
      </c>
      <c r="AF19" s="951" t="s">
        <v>19</v>
      </c>
      <c r="AH19" s="951">
        <v>1</v>
      </c>
      <c r="AJ19" s="951" t="s">
        <v>19</v>
      </c>
      <c r="AL19" s="951">
        <v>1</v>
      </c>
      <c r="AM19" s="3896"/>
      <c r="AN19" s="701"/>
      <c r="AO19" s="953"/>
      <c r="AP19" s="954"/>
      <c r="AQ19" s="742" t="s">
        <v>61</v>
      </c>
      <c r="AR19" s="954"/>
      <c r="AS19" s="742" t="s">
        <v>61</v>
      </c>
      <c r="BA19" s="3432">
        <v>0</v>
      </c>
    </row>
    <row customHeight="1" ht="14.25" hidden="1">
      <c r="BA20" s="3432">
        <v>0</v>
      </c>
    </row>
    <row customHeight="1" ht="14.25" hidden="1">
      <c r="O21" s="859" t="s">
        <v>432</v>
      </c>
      <c r="X21" s="929"/>
      <c r="Z21" s="929"/>
      <c r="AP21" s="929"/>
      <c r="AR21" s="929"/>
      <c r="BA21" s="3432">
        <v>0</v>
      </c>
    </row>
    <row customHeight="1" ht="14.25" hidden="1">
      <c r="BA22" s="3432">
        <v>0</v>
      </c>
    </row>
    <row customHeight="1" ht="14.25" hidden="1">
      <c r="O23" s="3897" t="s">
        <v>433</v>
      </c>
      <c r="Y23" s="3897" t="s">
        <v>435</v>
      </c>
      <c r="AA23" s="3897" t="s">
        <v>436</v>
      </c>
      <c r="AB23" s="3897" t="s">
        <v>484</v>
      </c>
      <c r="AE23" s="3897" t="s">
        <v>485</v>
      </c>
      <c r="AF23" s="3897" t="s">
        <v>484</v>
      </c>
      <c r="AI23" s="3897" t="s">
        <v>486</v>
      </c>
      <c r="AJ23" s="3897" t="s">
        <v>484</v>
      </c>
      <c r="AM23" s="3897" t="s">
        <v>487</v>
      </c>
      <c r="AQ23" s="3897" t="s">
        <v>435</v>
      </c>
      <c r="AS23" s="3897" t="s">
        <v>436</v>
      </c>
      <c r="BA23" s="3897">
        <v>0</v>
      </c>
    </row>
    <row customHeight="1" ht="14.25" hidden="1">
      <c r="BA24" s="3432">
        <v>0</v>
      </c>
    </row>
    <row customHeight="1" ht="14.25" hidden="1">
      <c r="BA25" s="3432">
        <v>0</v>
      </c>
    </row>
    <row customHeight="1" ht="14.699999999999998">
      <c r="Q26" s="3898"/>
      <c r="R26" s="3719"/>
      <c r="S26" s="3842"/>
      <c r="T26" s="3450"/>
      <c r="U26" s="3450"/>
      <c r="BA26" s="3432">
        <v>14</v>
      </c>
    </row>
    <row customHeight="1" ht="27.299999999999997">
      <c r="Q27" s="3898"/>
      <c r="R27" s="3719"/>
      <c r="S27" s="3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646"/>
      <c r="U27" s="3646"/>
      <c r="V27" s="3646"/>
      <c r="W27" s="3646"/>
      <c r="X27" s="3646"/>
      <c r="Y27" s="3646"/>
      <c r="Z27" s="3646"/>
      <c r="AA27" s="3646"/>
      <c r="AB27" s="3646"/>
      <c r="AC27" s="3646"/>
      <c r="AD27" s="3646"/>
      <c r="AE27" s="3646"/>
      <c r="AF27" s="3646"/>
      <c r="AG27" s="3646"/>
      <c r="AH27" s="3646"/>
      <c r="AI27" s="3646"/>
      <c r="AJ27" s="3646"/>
      <c r="AK27" s="3646"/>
      <c r="AL27" s="3646"/>
      <c r="AM27" s="3646"/>
      <c r="AN27" s="3646"/>
      <c r="AO27" s="3646"/>
      <c r="AP27" s="3646"/>
      <c r="AQ27" s="3646"/>
      <c r="AR27" s="3646"/>
      <c r="BA27" s="3432">
        <v>26</v>
      </c>
    </row>
    <row customHeight="1" ht="14.699999999999998">
      <c r="Q28" s="3898"/>
      <c r="R28" s="3719"/>
      <c r="S28" s="3554" t="str">
        <f>IF(org=0,"Не определено",org)</f>
        <v>ООО "ТеплоЭлектроГенерирующая Компания"</v>
      </c>
      <c r="T28" s="3554"/>
      <c r="U28" s="3554"/>
      <c r="V28" s="3554"/>
      <c r="W28" s="3554"/>
      <c r="X28" s="3554"/>
      <c r="Y28" s="3554"/>
      <c r="Z28" s="3554"/>
      <c r="AA28" s="3554"/>
      <c r="AB28" s="3554"/>
      <c r="AC28" s="3554"/>
      <c r="AD28" s="3554"/>
      <c r="AE28" s="3554"/>
      <c r="AF28" s="3554"/>
      <c r="AG28" s="3554"/>
      <c r="AH28" s="3554"/>
      <c r="AI28" s="3554"/>
      <c r="AJ28" s="3554"/>
      <c r="AK28" s="3554"/>
      <c r="AL28" s="3554"/>
      <c r="AM28" s="3554"/>
      <c r="AN28" s="3554"/>
      <c r="AO28" s="3554"/>
      <c r="AP28" s="3554"/>
      <c r="AQ28" s="3554"/>
      <c r="AR28" s="3554"/>
      <c r="BA28" s="3432">
        <v>14</v>
      </c>
    </row>
    <row customHeight="1" ht="14.25" hidden="1">
      <c r="Q29" s="3898"/>
      <c r="R29" s="3719"/>
      <c r="S29" s="3842"/>
      <c r="T29" s="3450"/>
      <c r="U29" s="3450"/>
      <c r="V29" s="3804"/>
      <c r="W29" s="3804"/>
      <c r="X29" s="3804"/>
      <c r="Y29" s="3804"/>
      <c r="Z29" s="3804"/>
      <c r="AA29" s="3804"/>
      <c r="AB29" s="3804"/>
      <c r="AC29" s="3804"/>
      <c r="AD29" s="3804"/>
      <c r="AE29" s="3804"/>
      <c r="AF29" s="3804"/>
      <c r="AG29" s="3804"/>
      <c r="AH29" s="3804"/>
      <c r="AI29" s="3804"/>
      <c r="AJ29" s="3804"/>
      <c r="AK29" s="3804"/>
      <c r="AL29" s="3804"/>
      <c r="AM29" s="3804"/>
      <c r="AN29" s="3804"/>
      <c r="AO29" s="3804"/>
      <c r="AP29" s="3804"/>
      <c r="AQ29" s="3804"/>
      <c r="AR29" s="3804"/>
      <c r="AS29" s="3804"/>
      <c r="BA29" s="3432">
        <v>0</v>
      </c>
    </row>
    <row customHeight="1" ht="25.5" hidden="1">
      <c r="S30" s="3843" t="s">
        <v>41</v>
      </c>
      <c r="T30" s="3843"/>
      <c r="U30" s="3844"/>
      <c r="V30" s="3806" t="str">
        <f>IF(TITLE_NAME_OR_PR_CHANGE="",IF(TITLE_NAME_OR_PR="","",TITLE_NAME_OR_PR),TITLE_NAME_OR_PR_CHANGE)</f>
        <v/>
      </c>
      <c r="W30" s="3806"/>
      <c r="X30" s="3806"/>
      <c r="Y30" s="3806"/>
      <c r="Z30" s="3806"/>
      <c r="AB30" s="3806" t="str">
        <f>IF(TITLE_NAME_OR_PR_CHANGE="",IF(TITLE_NAME_OR_PR="","",TITLE_NAME_OR_PR),TITLE_NAME_OR_PR_CHANGE)</f>
        <v/>
      </c>
      <c r="AC30" s="3806"/>
      <c r="AD30" s="3806"/>
      <c r="AE30" s="3806"/>
      <c r="AF30" s="3806"/>
      <c r="AG30" s="3806"/>
      <c r="AH30" s="3806"/>
      <c r="AI30" s="3806"/>
      <c r="AJ30" s="3806"/>
      <c r="AK30" s="3806"/>
      <c r="AL30" s="3806"/>
      <c r="AM30" s="3806"/>
      <c r="AN30" s="3806"/>
      <c r="AO30" s="3806"/>
      <c r="AP30" s="3806"/>
      <c r="AQ30" s="3806"/>
      <c r="AR30" s="3806"/>
      <c r="BA30" s="3489">
        <v>0</v>
      </c>
    </row>
    <row customHeight="1" ht="18.75" hidden="1">
      <c r="S31" s="3843" t="s">
        <v>438</v>
      </c>
      <c r="T31" s="3843"/>
      <c r="U31" s="3844"/>
      <c r="V31" s="795" t="str">
        <f>IF(TITLE_DATE_PR_CHANGE="",IF(TITLE_DATE_PR="","",TITLE_DATE_PR),TITLE_DATE_PR_CHANGE)</f>
        <v/>
      </c>
      <c r="W31" s="795"/>
      <c r="X31" s="795"/>
      <c r="Y31" s="795"/>
      <c r="Z31" s="795"/>
      <c r="AB31" s="795" t="str">
        <f>IF(TITLE_DATE_PR_CHANGE="",IF(TITLE_DATE_PR="","",TITLE_DATE_PR),TITLE_DATE_PR_CHANGE)</f>
        <v/>
      </c>
      <c r="AC31" s="795"/>
      <c r="AD31" s="795"/>
      <c r="AE31" s="795"/>
      <c r="AF31" s="795"/>
      <c r="AG31" s="795"/>
      <c r="AH31" s="795"/>
      <c r="AI31" s="795"/>
      <c r="AJ31" s="795"/>
      <c r="AK31" s="795"/>
      <c r="AL31" s="795"/>
      <c r="AM31" s="795"/>
      <c r="AN31" s="795"/>
      <c r="AO31" s="795"/>
      <c r="AP31" s="795"/>
      <c r="AQ31" s="795"/>
      <c r="AR31" s="795"/>
      <c r="BA31" s="3489">
        <v>0</v>
      </c>
    </row>
    <row customHeight="1" ht="18.75" hidden="1">
      <c r="S32" s="3843" t="s">
        <v>439</v>
      </c>
      <c r="T32" s="3843"/>
      <c r="U32" s="3844"/>
      <c r="V32" s="3806" t="str">
        <f>IF(TITLE_NUMBER_PR_CHANGE="",IF(TITLE_NUMBER_PR="","",TITLE_NUMBER_PR),TITLE_NUMBER_PR_CHANGE)</f>
        <v/>
      </c>
      <c r="W32" s="3806"/>
      <c r="X32" s="3806"/>
      <c r="Y32" s="3806"/>
      <c r="Z32" s="3806"/>
      <c r="AB32" s="3806" t="str">
        <f>IF(TITLE_NUMBER_PR_CHANGE="",IF(TITLE_NUMBER_PR="","",TITLE_NUMBER_PR),TITLE_NUMBER_PR_CHANGE)</f>
        <v/>
      </c>
      <c r="AC32" s="3806"/>
      <c r="AD32" s="3806"/>
      <c r="AE32" s="3806"/>
      <c r="AF32" s="3806"/>
      <c r="AG32" s="3806"/>
      <c r="AH32" s="3806"/>
      <c r="AI32" s="3806"/>
      <c r="AJ32" s="3806"/>
      <c r="AK32" s="3806"/>
      <c r="AL32" s="3806"/>
      <c r="AM32" s="3806"/>
      <c r="AN32" s="3806"/>
      <c r="AO32" s="3806"/>
      <c r="AP32" s="3806"/>
      <c r="AQ32" s="3806"/>
      <c r="AR32" s="3806"/>
      <c r="BA32" s="3489">
        <v>0</v>
      </c>
    </row>
    <row customHeight="1" ht="18.75" hidden="1">
      <c r="S33" s="3843" t="s">
        <v>42</v>
      </c>
      <c r="T33" s="3843"/>
      <c r="U33" s="3844"/>
      <c r="V33" s="3806" t="str">
        <f>IF(TITLE_IST_PUB_CHANGE="",IF(TITLE_IST_PUB="","",TITLE_IST_PUB),TITLE_IST_PUB_CHANGE)</f>
        <v/>
      </c>
      <c r="W33" s="3806"/>
      <c r="X33" s="3806"/>
      <c r="Y33" s="3806"/>
      <c r="Z33" s="3806"/>
      <c r="AB33" s="3806" t="str">
        <f>IF(TITLE_IST_PUB_CHANGE="",IF(TITLE_IST_PUB="","",TITLE_IST_PUB),TITLE_IST_PUB_CHANGE)</f>
        <v/>
      </c>
      <c r="AC33" s="3806"/>
      <c r="AD33" s="3806"/>
      <c r="AE33" s="3806"/>
      <c r="AF33" s="3806"/>
      <c r="AG33" s="3806"/>
      <c r="AH33" s="3806"/>
      <c r="AI33" s="3806"/>
      <c r="AJ33" s="3806"/>
      <c r="AK33" s="3806"/>
      <c r="AL33" s="3806"/>
      <c r="AM33" s="3806"/>
      <c r="AN33" s="3806"/>
      <c r="AO33" s="3806"/>
      <c r="AP33" s="3806"/>
      <c r="AQ33" s="3806"/>
      <c r="AR33" s="3806"/>
      <c r="BA33" s="3489">
        <v>0</v>
      </c>
    </row>
    <row customHeight="1" ht="14.25" hidden="1">
      <c r="Q34" s="3898"/>
      <c r="R34" s="3719"/>
      <c r="S34" s="3842"/>
      <c r="T34" s="3450"/>
      <c r="U34" s="3450"/>
      <c r="V34" s="3804"/>
      <c r="W34" s="3804"/>
      <c r="X34" s="3804"/>
      <c r="Y34" s="3804"/>
      <c r="Z34" s="3804"/>
      <c r="AA34" s="3804"/>
      <c r="AB34" s="3804"/>
      <c r="AC34" s="3804"/>
      <c r="AD34" s="3804"/>
      <c r="AE34" s="3804"/>
      <c r="AF34" s="3804"/>
      <c r="AG34" s="3804"/>
      <c r="AH34" s="3804"/>
      <c r="AI34" s="3804"/>
      <c r="AJ34" s="3804"/>
      <c r="AK34" s="3804"/>
      <c r="AL34" s="3804"/>
      <c r="AM34" s="3804"/>
      <c r="AN34" s="3804"/>
      <c r="AO34" s="3804"/>
      <c r="AP34" s="3804"/>
      <c r="AQ34" s="3804"/>
      <c r="AR34" s="3804"/>
      <c r="AS34" s="3804"/>
      <c r="BA34" s="3432">
        <v>0</v>
      </c>
    </row>
    <row customHeight="1" ht="18.75" hidden="1">
      <c r="S35" s="3843" t="s">
        <v>438</v>
      </c>
      <c r="T35" s="3843"/>
      <c r="U35" s="3844"/>
      <c r="V35" s="795" t="str">
        <f>IF(TITLE_DATE_PR_CHANGE="",IF(TITLE_DATE_PR="","",TITLE_DATE_PR),TITLE_DATE_PR_CHANGE)</f>
        <v/>
      </c>
      <c r="W35" s="795"/>
      <c r="X35" s="795"/>
      <c r="Y35" s="795"/>
      <c r="Z35" s="795"/>
      <c r="AB35" s="795" t="str">
        <f>IF(TITLE_DATE_PR_CHANGE="",IF(TITLE_DATE_PR="","",TITLE_DATE_PR),TITLE_DATE_PR_CHANGE)</f>
        <v/>
      </c>
      <c r="AC35" s="795"/>
      <c r="AD35" s="795"/>
      <c r="AE35" s="795"/>
      <c r="AF35" s="795"/>
      <c r="AG35" s="795"/>
      <c r="AH35" s="795"/>
      <c r="AI35" s="795"/>
      <c r="AJ35" s="795"/>
      <c r="AK35" s="795"/>
      <c r="AL35" s="795"/>
      <c r="AM35" s="795"/>
      <c r="AN35" s="795"/>
      <c r="AO35" s="795"/>
      <c r="AP35" s="795"/>
      <c r="AQ35" s="795"/>
      <c r="AR35" s="795"/>
      <c r="BA35" s="3489">
        <v>0</v>
      </c>
    </row>
    <row customHeight="1" ht="18" hidden="1">
      <c r="S36" s="3843" t="s">
        <v>439</v>
      </c>
      <c r="T36" s="3843"/>
      <c r="U36" s="3844"/>
      <c r="V36" s="3806" t="str">
        <f>IF(TITLE_NUMBER_PR_CHANGE="",IF(TITLE_NUMBER_PR="","",TITLE_NUMBER_PR),TITLE_NUMBER_PR_CHANGE)</f>
        <v/>
      </c>
      <c r="W36" s="3806"/>
      <c r="X36" s="3806"/>
      <c r="Y36" s="3806"/>
      <c r="Z36" s="3806"/>
      <c r="AB36" s="3806" t="str">
        <f>IF(TITLE_NUMBER_PR_CHANGE="",IF(TITLE_NUMBER_PR="","",TITLE_NUMBER_PR),TITLE_NUMBER_PR_CHANGE)</f>
        <v/>
      </c>
      <c r="AC36" s="3806"/>
      <c r="AD36" s="3806"/>
      <c r="AE36" s="3806"/>
      <c r="AF36" s="3806"/>
      <c r="AG36" s="3806"/>
      <c r="AH36" s="3806"/>
      <c r="AI36" s="3806"/>
      <c r="AJ36" s="3806"/>
      <c r="AK36" s="3806"/>
      <c r="AL36" s="3806"/>
      <c r="AM36" s="3806"/>
      <c r="AN36" s="3806"/>
      <c r="AO36" s="3806"/>
      <c r="AP36" s="3806"/>
      <c r="AQ36" s="3806"/>
      <c r="AR36" s="3806"/>
      <c r="BA36" s="3489">
        <v>0</v>
      </c>
    </row>
    <row customHeight="1" ht="1.05">
      <c r="AA37" s="3473" t="s">
        <v>442</v>
      </c>
      <c r="AS37" s="3473" t="s">
        <v>442</v>
      </c>
      <c r="BA37" s="3489">
        <v>1</v>
      </c>
    </row>
    <row customHeight="1" ht="14.699999999999998">
      <c r="Q38" s="3898"/>
      <c r="R38" s="3719"/>
      <c r="S38" s="3842"/>
      <c r="T38" s="3450"/>
      <c r="U38" s="3845"/>
      <c r="V38" s="3846"/>
      <c r="W38" s="3846"/>
      <c r="X38" s="3846"/>
      <c r="Y38" s="3846"/>
      <c r="Z38" s="3846"/>
      <c r="AA38" s="3846"/>
      <c r="AB38" s="3846"/>
      <c r="AC38" s="3846"/>
      <c r="AD38" s="3846"/>
      <c r="AE38" s="3846"/>
      <c r="AF38" s="3846"/>
      <c r="AG38" s="3846"/>
      <c r="AH38" s="3846"/>
      <c r="AI38" s="3846"/>
      <c r="AJ38" s="3846"/>
      <c r="AK38" s="3846"/>
      <c r="AL38" s="3846"/>
      <c r="AM38" s="3846"/>
      <c r="AN38" s="3846"/>
      <c r="AO38" s="3846"/>
      <c r="AP38" s="3846"/>
      <c r="AQ38" s="3846"/>
      <c r="AR38" s="3846"/>
      <c r="AS38" s="3846"/>
      <c r="BA38" s="3432">
        <v>14</v>
      </c>
    </row>
    <row customHeight="1" ht="14.699999999999998">
      <c r="Q39" s="3898"/>
      <c r="R39" s="3719"/>
      <c r="S39" s="3480" t="s">
        <v>315</v>
      </c>
      <c r="T39" s="3480"/>
      <c r="U39" s="3480"/>
      <c r="V39" s="3480"/>
      <c r="W39" s="3480"/>
      <c r="X39" s="3480"/>
      <c r="Y39" s="3480"/>
      <c r="Z39" s="3480"/>
      <c r="AA39" s="3480"/>
      <c r="AB39" s="3558"/>
      <c r="AC39" s="3558"/>
      <c r="AD39" s="3558"/>
      <c r="AE39" s="3558"/>
      <c r="AF39" s="3480"/>
      <c r="AG39" s="3480"/>
      <c r="AH39" s="3480"/>
      <c r="AI39" s="3480"/>
      <c r="AJ39" s="3480"/>
      <c r="AK39" s="3480"/>
      <c r="AL39" s="3480"/>
      <c r="AM39" s="3480"/>
      <c r="AN39" s="3480"/>
      <c r="AO39" s="3480"/>
      <c r="AP39" s="3480"/>
      <c r="AQ39" s="3480"/>
      <c r="AR39" s="3480"/>
      <c r="AS39" s="3480"/>
      <c r="AT39" s="3480"/>
      <c r="AU39" s="3480" t="s">
        <v>316</v>
      </c>
      <c r="BA39" s="3432">
        <v>14</v>
      </c>
    </row>
    <row customHeight="1" ht="14.699999999999998">
      <c r="Q40" s="3898"/>
      <c r="R40" s="3719"/>
      <c r="S40" s="3818" t="s">
        <v>86</v>
      </c>
      <c r="T40" s="3579" t="s">
        <v>488</v>
      </c>
      <c r="U40" s="3793"/>
      <c r="V40" s="3848"/>
      <c r="W40" s="3848"/>
      <c r="X40" s="3848"/>
      <c r="Y40" s="3848"/>
      <c r="Z40" s="3849"/>
      <c r="AA40" s="3899" t="s">
        <v>445</v>
      </c>
      <c r="AB40" s="3900" t="s">
        <v>489</v>
      </c>
      <c r="AC40" s="3858"/>
      <c r="AD40" s="3858"/>
      <c r="AE40" s="3901"/>
      <c r="AF40" s="3858" t="s">
        <v>490</v>
      </c>
      <c r="AG40" s="3858"/>
      <c r="AH40" s="3858"/>
      <c r="AI40" s="3901"/>
      <c r="AJ40" s="3900" t="s">
        <v>491</v>
      </c>
      <c r="AK40" s="3858"/>
      <c r="AL40" s="3858"/>
      <c r="AM40" s="3901"/>
      <c r="AN40" s="3900" t="s">
        <v>444</v>
      </c>
      <c r="AO40" s="3858"/>
      <c r="AP40" s="3848"/>
      <c r="AQ40" s="3848"/>
      <c r="AR40" s="3849"/>
      <c r="AS40" s="3807" t="s">
        <v>445</v>
      </c>
      <c r="AT40" s="868" t="s">
        <v>447</v>
      </c>
      <c r="AU40" s="3480"/>
      <c r="BA40" s="3432">
        <v>14</v>
      </c>
    </row>
    <row customHeight="1" ht="35.699999999999996">
      <c r="Q41" s="3898"/>
      <c r="R41" s="3719"/>
      <c r="S41" s="3818"/>
      <c r="T41" s="3579"/>
      <c r="U41" s="3798"/>
      <c r="V41" s="3480" t="s">
        <v>492</v>
      </c>
      <c r="W41" s="3480"/>
      <c r="X41" s="3555" t="s">
        <v>451</v>
      </c>
      <c r="Y41" s="3886"/>
      <c r="Z41" s="3556"/>
      <c r="AA41" s="3902"/>
      <c r="AB41" s="3903"/>
      <c r="AC41" s="3904"/>
      <c r="AD41" s="3904"/>
      <c r="AE41" s="3905"/>
      <c r="AF41" s="3904"/>
      <c r="AG41" s="3904"/>
      <c r="AH41" s="3904"/>
      <c r="AI41" s="3905"/>
      <c r="AJ41" s="3903"/>
      <c r="AK41" s="3904"/>
      <c r="AL41" s="3904"/>
      <c r="AM41" s="3904"/>
      <c r="AN41" s="3480" t="s">
        <v>492</v>
      </c>
      <c r="AO41" s="3480"/>
      <c r="AP41" s="3886" t="s">
        <v>451</v>
      </c>
      <c r="AQ41" s="3886"/>
      <c r="AR41" s="3556"/>
      <c r="AS41" s="3851"/>
      <c r="AT41" s="871"/>
      <c r="AU41" s="3480"/>
      <c r="BA41" s="3432">
        <v>34</v>
      </c>
    </row>
    <row customHeight="1" ht="14.699999999999998">
      <c r="Q42" s="3898"/>
      <c r="R42" s="3719"/>
      <c r="S42" s="3818"/>
      <c r="T42" s="3579"/>
      <c r="U42" s="3798"/>
      <c r="V42" s="3906" t="str">
        <f>IF($AN$42&lt;&gt;"",$AN$42,"")</f>
        <v/>
      </c>
      <c r="W42" s="3906"/>
      <c r="X42" s="3561"/>
      <c r="Y42" s="3887"/>
      <c r="Z42" s="3562"/>
      <c r="AA42" s="3902"/>
      <c r="AB42" s="3903"/>
      <c r="AC42" s="3904"/>
      <c r="AD42" s="3904"/>
      <c r="AE42" s="3905"/>
      <c r="AF42" s="3904"/>
      <c r="AG42" s="3904"/>
      <c r="AH42" s="3904"/>
      <c r="AI42" s="3905"/>
      <c r="AJ42" s="3903"/>
      <c r="AK42" s="3904"/>
      <c r="AL42" s="3904"/>
      <c r="AM42" s="3904"/>
      <c r="AN42" s="3907"/>
      <c r="AO42" s="3907"/>
      <c r="AP42" s="3887"/>
      <c r="AQ42" s="3887"/>
      <c r="AR42" s="3562"/>
      <c r="AS42" s="3851"/>
      <c r="AT42" s="871"/>
      <c r="AU42" s="3480"/>
      <c r="BA42" s="3432">
        <v>14</v>
      </c>
    </row>
    <row customHeight="1" ht="14.699999999999998">
      <c r="B43" s="3511" t="s">
        <v>153</v>
      </c>
      <c r="C43" s="3511" t="s">
        <v>154</v>
      </c>
      <c r="D43" s="3511" t="s">
        <v>155</v>
      </c>
      <c r="E43" s="3830" t="s">
        <v>452</v>
      </c>
      <c r="F43" s="3830" t="s">
        <v>453</v>
      </c>
      <c r="G43" s="3830" t="s">
        <v>454</v>
      </c>
      <c r="H43" s="3830" t="s">
        <v>455</v>
      </c>
      <c r="I43" s="3830" t="s">
        <v>456</v>
      </c>
      <c r="J43" s="3830" t="s">
        <v>457</v>
      </c>
      <c r="K43" s="3830" t="s">
        <v>458</v>
      </c>
      <c r="L43" s="3830" t="s">
        <v>433</v>
      </c>
      <c r="Q43" s="3898"/>
      <c r="R43" s="3719"/>
      <c r="S43" s="3818"/>
      <c r="T43" s="3579"/>
      <c r="U43" s="3852"/>
      <c r="V43" s="3579" t="s">
        <v>493</v>
      </c>
      <c r="W43" s="3579" t="s">
        <v>494</v>
      </c>
      <c r="X43" s="3525" t="s">
        <v>461</v>
      </c>
      <c r="Y43" s="3626" t="s">
        <v>462</v>
      </c>
      <c r="Z43" s="3628"/>
      <c r="AA43" s="3908"/>
      <c r="AB43" s="3909"/>
      <c r="AC43" s="3910"/>
      <c r="AD43" s="3910"/>
      <c r="AE43" s="3911"/>
      <c r="AF43" s="3910"/>
      <c r="AG43" s="3910"/>
      <c r="AH43" s="3910"/>
      <c r="AI43" s="3911"/>
      <c r="AJ43" s="3909"/>
      <c r="AK43" s="3910"/>
      <c r="AL43" s="3910"/>
      <c r="AM43" s="3911"/>
      <c r="AN43" s="3810" t="s">
        <v>493</v>
      </c>
      <c r="AO43" s="3810" t="s">
        <v>494</v>
      </c>
      <c r="AP43" s="3525" t="s">
        <v>461</v>
      </c>
      <c r="AQ43" s="3626" t="s">
        <v>462</v>
      </c>
      <c r="AR43" s="3628"/>
      <c r="AS43" s="3810"/>
      <c r="AT43" s="873"/>
      <c r="AU43" s="3480"/>
      <c r="BA43" s="3432">
        <v>14</v>
      </c>
    </row>
    <row customHeight="1" ht="11.25" hidden="1">
      <c r="Q44" s="3854"/>
      <c r="R44" s="3854">
        <v>1</v>
      </c>
      <c r="S44" s="876" t="s">
        <v>107</v>
      </c>
      <c r="T44" s="877" t="s">
        <v>108</v>
      </c>
      <c r="U44" s="3855" t="str">
        <f>OFFSET(U44,0,-1)</f>
        <v>2</v>
      </c>
      <c r="V44" s="3856">
        <f>OFFSET(V44,0,-1)+1</f>
        <v>3</v>
      </c>
      <c r="W44" s="3856">
        <f>OFFSET(W44,0,-1)+1</f>
        <v>4</v>
      </c>
      <c r="X44" s="3856">
        <f>OFFSET(X44,0,-1)+1</f>
        <v>5</v>
      </c>
      <c r="Y44" s="3856">
        <f>OFFSET(Y44,0,-1)+1</f>
        <v>6</v>
      </c>
      <c r="Z44" s="3856"/>
      <c r="AA44" s="3856">
        <f>OFFSET(AA44,0,-2)+1</f>
        <v>7</v>
      </c>
      <c r="AB44" s="3636">
        <f>OFFSET(AB44,0,-1)+1</f>
        <v>8</v>
      </c>
      <c r="AC44" s="3636"/>
      <c r="AD44" s="3636"/>
      <c r="AE44" s="3636"/>
      <c r="AF44" s="3856"/>
      <c r="AG44" s="3856"/>
      <c r="AH44" s="3856"/>
      <c r="AI44" s="3856"/>
      <c r="AJ44" s="3856"/>
      <c r="AK44" s="3856"/>
      <c r="AL44" s="3856"/>
      <c r="AM44" s="3856"/>
      <c r="AN44" s="3856">
        <f>OFFSET(AN44,0,-1)+1</f>
        <v>1</v>
      </c>
      <c r="AO44" s="3856">
        <f>OFFSET(AO44,0,-1)+1</f>
        <v>2</v>
      </c>
      <c r="AP44" s="3856">
        <f>OFFSET(AP44,0,-1)+1</f>
        <v>3</v>
      </c>
      <c r="AQ44" s="3856">
        <f>OFFSET(AQ44,0,-1)+1</f>
        <v>4</v>
      </c>
      <c r="AR44" s="3856"/>
      <c r="AS44" s="3856">
        <f>OFFSET(AS44,0,-2)+1</f>
        <v>5</v>
      </c>
      <c r="AT44" s="3855">
        <f>OFFSET(AT44,0,-1)</f>
        <v>5</v>
      </c>
      <c r="AU44" s="3856">
        <f>OFFSET(AU44,0,-1)+1</f>
        <v>6</v>
      </c>
      <c r="BA44" s="3637">
        <v>0</v>
      </c>
    </row>
    <row customHeight="1" ht="107.25">
      <c r="A45" s="3857" t="s">
        <v>215</v>
      </c>
      <c r="E45" s="3817">
        <v>1</v>
      </c>
      <c r="R45" s="816"/>
      <c r="S45" s="3818">
        <f>INDEX(PT_DIFFERENTIATION_NUM_NTAR,MATCH(A45,PT_DIFFERENTIATION_NTAR_ID,0))</f>
        <v>0</v>
      </c>
      <c r="T45" s="3764" t="s">
        <v>141</v>
      </c>
      <c r="U45" s="3819"/>
      <c r="V45" s="3821"/>
      <c r="W45" s="3821"/>
      <c r="X45" s="3821"/>
      <c r="Y45" s="3821"/>
      <c r="Z45" s="3821"/>
      <c r="AA45" s="3822"/>
      <c r="AB45" s="3820" t="str">
        <f>INDEX(PT_DIFFERENTIATION_NTAR,MATCH(A45,PT_DIFFERENTIATION_NTAR_ID,0))</f>
        <v/>
      </c>
      <c r="AC45" s="3821"/>
      <c r="AD45" s="3821"/>
      <c r="AE45" s="3821"/>
      <c r="AF45" s="3821"/>
      <c r="AG45" s="3821"/>
      <c r="AH45" s="3821"/>
      <c r="AI45" s="3821"/>
      <c r="AJ45" s="3821"/>
      <c r="AK45" s="3821"/>
      <c r="AL45" s="3821"/>
      <c r="AM45" s="3821"/>
      <c r="AN45" s="3821"/>
      <c r="AO45" s="3821"/>
      <c r="AP45" s="3821"/>
      <c r="AQ45" s="3821"/>
      <c r="AR45" s="3821"/>
      <c r="AS45" s="3821"/>
      <c r="AT45" s="3822"/>
      <c r="AU45" s="38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3479" t="str">
        <f>IF(T45="","",T45)</f>
        <v>Наименование тарифа</v>
      </c>
      <c r="BA45" s="3432">
        <v>102</v>
      </c>
    </row>
    <row customHeight="1" ht="22.049999999999997">
      <c r="A46" s="3857" t="s">
        <v>215</v>
      </c>
      <c r="B46" s="3857" t="s">
        <v>216</v>
      </c>
      <c r="E46" s="3824"/>
      <c r="F46" s="3817">
        <v>1</v>
      </c>
      <c r="Q46" s="3890"/>
      <c r="R46" s="3826"/>
      <c r="S46" s="3818" t="str">
        <f>INDEX(PT_DIFFERENTIATION_NUM_TER,MATCH(B46,PT_DIFFERENTIATION_TER_ID,0))</f>
        <v>.</v>
      </c>
      <c r="T46" s="3827" t="s">
        <v>412</v>
      </c>
      <c r="U46" s="3819"/>
      <c r="V46" s="3821"/>
      <c r="W46" s="3821"/>
      <c r="X46" s="3821"/>
      <c r="Y46" s="3821"/>
      <c r="Z46" s="3821"/>
      <c r="AA46" s="3822"/>
      <c r="AB46" s="3820" t="str">
        <f>INDEX(PT_DIFFERENTIATION_TER,MATCH(B46,PT_DIFFERENTIATION_TER_ID,0))</f>
        <v/>
      </c>
      <c r="AC46" s="3821"/>
      <c r="AD46" s="3821"/>
      <c r="AE46" s="3821"/>
      <c r="AF46" s="3821"/>
      <c r="AG46" s="3821"/>
      <c r="AH46" s="3821"/>
      <c r="AI46" s="3821"/>
      <c r="AJ46" s="3821"/>
      <c r="AK46" s="3821"/>
      <c r="AL46" s="3821"/>
      <c r="AM46" s="3821"/>
      <c r="AN46" s="3821"/>
      <c r="AO46" s="3821"/>
      <c r="AP46" s="3821"/>
      <c r="AQ46" s="3821"/>
      <c r="AR46" s="3821"/>
      <c r="AS46" s="3821"/>
      <c r="AT46" s="3822"/>
      <c r="AU46" s="3823" t="s">
        <v>413</v>
      </c>
      <c r="AX46" s="3479" t="str">
        <f>IF(T46="","",T46)</f>
        <v>Территория действия тарифа</v>
      </c>
      <c r="BA46" s="3432">
        <v>21</v>
      </c>
    </row>
    <row customHeight="1" ht="24">
      <c r="A47" s="3857" t="s">
        <v>215</v>
      </c>
      <c r="B47" s="3857" t="s">
        <v>216</v>
      </c>
      <c r="C47" s="3857" t="s">
        <v>217</v>
      </c>
      <c r="E47" s="3824"/>
      <c r="F47" s="3824"/>
      <c r="G47" s="3817">
        <v>1</v>
      </c>
      <c r="Q47" s="3890"/>
      <c r="R47" s="3826"/>
      <c r="S47" s="3818" t="str">
        <f>INDEX(PT_DIFFERENTIATION_NUM_CS,MATCH(C47,PT_DIFFERENTIATION_CS_ID,0))</f>
        <v>..</v>
      </c>
      <c r="T47" s="3828" t="s">
        <v>414</v>
      </c>
      <c r="U47" s="3819"/>
      <c r="V47" s="3821"/>
      <c r="W47" s="3821"/>
      <c r="X47" s="3821"/>
      <c r="Y47" s="3821"/>
      <c r="Z47" s="3821"/>
      <c r="AA47" s="3822"/>
      <c r="AB47" s="3820" t="str">
        <f>INDEX(PT_DIFFERENTIATION_CS,MATCH(C47,PT_DIFFERENTIATION_CS_ID,0))</f>
        <v/>
      </c>
      <c r="AC47" s="3821"/>
      <c r="AD47" s="3821"/>
      <c r="AE47" s="3821"/>
      <c r="AF47" s="3821"/>
      <c r="AG47" s="3821"/>
      <c r="AH47" s="3821"/>
      <c r="AI47" s="3821"/>
      <c r="AJ47" s="3821"/>
      <c r="AK47" s="3821"/>
      <c r="AL47" s="3821"/>
      <c r="AM47" s="3821"/>
      <c r="AN47" s="3821"/>
      <c r="AO47" s="3821"/>
      <c r="AP47" s="3821"/>
      <c r="AQ47" s="3821"/>
      <c r="AR47" s="3821"/>
      <c r="AS47" s="3821"/>
      <c r="AT47" s="3822"/>
      <c r="AU47" s="3823" t="s">
        <v>415</v>
      </c>
      <c r="AX47" s="3479" t="str">
        <f>IF(T47="","",T47)</f>
        <v>Наименование системы теплоснабжения </v>
      </c>
      <c r="BA47" s="3432">
        <v>23</v>
      </c>
    </row>
    <row customHeight="1" ht="21">
      <c r="A48" s="3857" t="s">
        <v>215</v>
      </c>
      <c r="B48" s="3857" t="s">
        <v>216</v>
      </c>
      <c r="C48" s="3857" t="s">
        <v>217</v>
      </c>
      <c r="D48" s="3857" t="s">
        <v>218</v>
      </c>
      <c r="E48" s="3824"/>
      <c r="F48" s="3824"/>
      <c r="G48" s="3824"/>
      <c r="H48" s="3817">
        <v>1</v>
      </c>
      <c r="Q48" s="3890"/>
      <c r="R48" s="3826"/>
      <c r="S48" s="3818" t="str">
        <f>INDEX(PT_DIFFERENTIATION_NUM_IST_TE,MATCH(D48,PT_DIFFERENTIATION_IST_TE_ID,0))</f>
        <v>...</v>
      </c>
      <c r="T48" s="3829" t="s">
        <v>416</v>
      </c>
      <c r="U48" s="3819"/>
      <c r="V48" s="3821"/>
      <c r="W48" s="3821"/>
      <c r="X48" s="3821"/>
      <c r="Y48" s="3821"/>
      <c r="Z48" s="3821"/>
      <c r="AA48" s="3822"/>
      <c r="AB48" s="3820" t="str">
        <f>INDEX(PT_DIFFERENTIATION_IST_TE,MATCH(D48,PT_DIFFERENTIATION_IST_TE_ID,0))</f>
        <v/>
      </c>
      <c r="AC48" s="3821"/>
      <c r="AD48" s="3821"/>
      <c r="AE48" s="3821"/>
      <c r="AF48" s="3821"/>
      <c r="AG48" s="3821"/>
      <c r="AH48" s="3821"/>
      <c r="AI48" s="3821"/>
      <c r="AJ48" s="3821"/>
      <c r="AK48" s="3821"/>
      <c r="AL48" s="3821"/>
      <c r="AM48" s="3821"/>
      <c r="AN48" s="3821"/>
      <c r="AO48" s="3821"/>
      <c r="AP48" s="3821"/>
      <c r="AQ48" s="3821"/>
      <c r="AR48" s="3821"/>
      <c r="AS48" s="3821"/>
      <c r="AT48" s="3822"/>
      <c r="AU48" s="3823" t="s">
        <v>417</v>
      </c>
      <c r="AX48" s="3479" t="str">
        <f>IF(T48="","",T48)</f>
        <v>Источник тепловой энергии  </v>
      </c>
      <c r="BA48" s="3432">
        <v>20</v>
      </c>
    </row>
    <row customHeight="1" ht="1.05">
      <c r="A49" s="3470" t="s">
        <v>215</v>
      </c>
      <c r="B49" s="3470" t="s">
        <v>216</v>
      </c>
      <c r="C49" s="3470" t="s">
        <v>217</v>
      </c>
      <c r="D49" s="3470" t="s">
        <v>218</v>
      </c>
      <c r="E49" s="3824"/>
      <c r="F49" s="3824"/>
      <c r="G49" s="3824"/>
      <c r="H49" s="3824"/>
      <c r="I49" s="3711" t="str">
        <f>S48&amp;".1"</f>
        <v>....1</v>
      </c>
      <c r="L49" s="3866" t="s">
        <v>418</v>
      </c>
      <c r="P49" s="3471">
        <v>1</v>
      </c>
      <c r="R49" s="3831"/>
      <c r="S49" s="3582"/>
      <c r="T49" s="3860"/>
      <c r="U49" s="3861"/>
      <c r="V49" s="3863"/>
      <c r="W49" s="3863"/>
      <c r="X49" s="3863"/>
      <c r="Y49" s="3863"/>
      <c r="Z49" s="3863"/>
      <c r="AA49" s="3864"/>
      <c r="AB49" s="3862"/>
      <c r="AC49" s="3863"/>
      <c r="AD49" s="3863"/>
      <c r="AE49" s="3863"/>
      <c r="AF49" s="3863"/>
      <c r="AG49" s="3863"/>
      <c r="AH49" s="3863"/>
      <c r="AI49" s="3863"/>
      <c r="AJ49" s="3863"/>
      <c r="AK49" s="3863"/>
      <c r="AL49" s="3863"/>
      <c r="AM49" s="3863"/>
      <c r="AN49" s="3863"/>
      <c r="AO49" s="3863"/>
      <c r="AP49" s="3863"/>
      <c r="AQ49" s="3863"/>
      <c r="AR49" s="3863"/>
      <c r="AS49" s="3863"/>
      <c r="AT49" s="3864"/>
      <c r="AU49" s="3865"/>
      <c r="AX49" s="3479" t="str">
        <f>IF(T49="","",T49)</f>
        <v/>
      </c>
      <c r="BA49" s="3473">
        <v>1</v>
      </c>
    </row>
    <row customHeight="1" ht="1.05">
      <c r="A50" s="3470" t="s">
        <v>215</v>
      </c>
      <c r="B50" s="3470" t="s">
        <v>216</v>
      </c>
      <c r="C50" s="3470" t="s">
        <v>217</v>
      </c>
      <c r="D50" s="3470" t="s">
        <v>218</v>
      </c>
      <c r="E50" s="3824"/>
      <c r="F50" s="3824"/>
      <c r="G50" s="3824"/>
      <c r="H50" s="3824"/>
      <c r="I50" s="3835"/>
      <c r="J50" s="3711" t="str">
        <f>S48&amp;".1"</f>
        <v>....1</v>
      </c>
      <c r="Q50" s="3471">
        <v>1</v>
      </c>
      <c r="R50" s="3836"/>
      <c r="S50" s="3582"/>
      <c r="T50" s="3891"/>
      <c r="U50" s="3861"/>
      <c r="V50" s="3863"/>
      <c r="W50" s="3863"/>
      <c r="X50" s="3863"/>
      <c r="Y50" s="3863"/>
      <c r="Z50" s="3863"/>
      <c r="AA50" s="3864"/>
      <c r="AB50" s="3862"/>
      <c r="AC50" s="3863"/>
      <c r="AD50" s="3863"/>
      <c r="AE50" s="3863"/>
      <c r="AF50" s="3863"/>
      <c r="AG50" s="3863"/>
      <c r="AH50" s="3863"/>
      <c r="AI50" s="3863"/>
      <c r="AJ50" s="3863"/>
      <c r="AK50" s="3863"/>
      <c r="AL50" s="3863"/>
      <c r="AM50" s="3863"/>
      <c r="AN50" s="3863"/>
      <c r="AO50" s="3863"/>
      <c r="AP50" s="3863"/>
      <c r="AQ50" s="3863"/>
      <c r="AR50" s="3863"/>
      <c r="AS50" s="3863"/>
      <c r="AT50" s="3864"/>
      <c r="AU50" s="3865"/>
      <c r="AX50" s="3479" t="str">
        <f>IF(T50="","",T50)</f>
        <v/>
      </c>
      <c r="BA50" s="3473">
        <v>1</v>
      </c>
    </row>
    <row customHeight="1" ht="22.049999999999997">
      <c r="A51" s="3857" t="s">
        <v>215</v>
      </c>
      <c r="B51" s="3857" t="s">
        <v>216</v>
      </c>
      <c r="C51" s="3857" t="s">
        <v>217</v>
      </c>
      <c r="D51" s="3857" t="s">
        <v>218</v>
      </c>
      <c r="E51" s="3824"/>
      <c r="F51" s="3824"/>
      <c r="G51" s="3824"/>
      <c r="H51" s="3824"/>
      <c r="I51" s="3835"/>
      <c r="J51" s="3835"/>
      <c r="K51" s="3711" t="str">
        <f>S48&amp;".1"</f>
        <v>....1</v>
      </c>
      <c r="R51" s="3836">
        <v>1</v>
      </c>
      <c r="S51" s="3867" t="str">
        <f>$K51</f>
        <v>....1</v>
      </c>
      <c r="T51" s="937"/>
      <c r="U51" s="3819"/>
      <c r="V51" s="838"/>
      <c r="W51" s="840"/>
      <c r="X51" s="572"/>
      <c r="Y51" s="210" t="s">
        <v>61</v>
      </c>
      <c r="Z51" s="572"/>
      <c r="AA51" s="210" t="s">
        <v>61</v>
      </c>
      <c r="AB51" s="210" t="s">
        <v>19</v>
      </c>
      <c r="AC51" s="3893"/>
      <c r="AD51" s="314">
        <v>1</v>
      </c>
      <c r="AE51" s="115" t="s">
        <v>22</v>
      </c>
      <c r="AF51" s="210" t="s">
        <v>19</v>
      </c>
      <c r="AG51" s="3893"/>
      <c r="AH51" s="314">
        <v>1</v>
      </c>
      <c r="AI51" s="115" t="s">
        <v>22</v>
      </c>
      <c r="AJ51" s="210" t="s">
        <v>19</v>
      </c>
      <c r="AK51" s="3894"/>
      <c r="AL51" s="314">
        <v>1</v>
      </c>
      <c r="AM51" s="3912"/>
      <c r="AN51" s="838"/>
      <c r="AO51" s="840"/>
      <c r="AP51" s="572"/>
      <c r="AQ51" s="210" t="s">
        <v>61</v>
      </c>
      <c r="AR51" s="572"/>
      <c r="AS51" s="210" t="s">
        <v>61</v>
      </c>
      <c r="AT51" s="882"/>
      <c r="AU51" s="3839" t="s">
        <v>495</v>
      </c>
      <c r="AV51" s="3473">
        <f>STRCHECKDATE(V54:AT54)</f>
      </c>
      <c r="AX51" s="3479" t="str">
        <f>IF(T51="","",T51)</f>
        <v/>
      </c>
      <c r="BA51" s="3432">
        <v>21</v>
      </c>
    </row>
    <row customHeight="1" ht="11.549999999999999">
      <c r="A52" s="3857" t="s">
        <v>215</v>
      </c>
      <c r="E52" s="3824"/>
      <c r="F52" s="3824"/>
      <c r="G52" s="3824"/>
      <c r="H52" s="3824"/>
      <c r="I52" s="3835"/>
      <c r="J52" s="3835"/>
      <c r="K52" s="3711"/>
      <c r="R52" s="3836"/>
      <c r="S52" s="3895"/>
      <c r="T52" s="941"/>
      <c r="U52" s="3819"/>
      <c r="V52" s="925"/>
      <c r="W52" s="943"/>
      <c r="X52" s="925"/>
      <c r="Y52" s="925"/>
      <c r="Z52" s="925"/>
      <c r="AA52" s="925"/>
      <c r="AB52" s="210"/>
      <c r="AC52" s="3893"/>
      <c r="AD52" s="314"/>
      <c r="AE52" s="115"/>
      <c r="AF52" s="210"/>
      <c r="AG52" s="3893"/>
      <c r="AH52" s="314"/>
      <c r="AI52" s="115"/>
      <c r="AJ52" s="210"/>
      <c r="AK52" s="697"/>
      <c r="AL52" s="172"/>
      <c r="AM52" s="167" t="s">
        <v>480</v>
      </c>
      <c r="AN52" s="925"/>
      <c r="AO52" s="943"/>
      <c r="AP52" s="925"/>
      <c r="AQ52" s="925"/>
      <c r="AR52" s="925"/>
      <c r="AS52" s="925"/>
      <c r="AT52" s="944"/>
      <c r="AU52" s="3840"/>
      <c r="BA52" s="3432">
        <v>11</v>
      </c>
    </row>
    <row customHeight="1" ht="11.549999999999999">
      <c r="A53" s="3857" t="s">
        <v>215</v>
      </c>
      <c r="E53" s="3824"/>
      <c r="F53" s="3824"/>
      <c r="G53" s="3824"/>
      <c r="H53" s="3824"/>
      <c r="I53" s="3835"/>
      <c r="J53" s="3835"/>
      <c r="K53" s="3711"/>
      <c r="R53" s="3836"/>
      <c r="S53" s="3895"/>
      <c r="T53" s="941"/>
      <c r="U53" s="3819"/>
      <c r="V53" s="925"/>
      <c r="W53" s="943"/>
      <c r="X53" s="925"/>
      <c r="Y53" s="925"/>
      <c r="Z53" s="925"/>
      <c r="AA53" s="925"/>
      <c r="AB53" s="210"/>
      <c r="AC53" s="3893"/>
      <c r="AD53" s="314"/>
      <c r="AE53" s="115"/>
      <c r="AF53" s="210"/>
      <c r="AG53" s="945"/>
      <c r="AH53" s="167"/>
      <c r="AI53" s="167" t="s">
        <v>481</v>
      </c>
      <c r="AJ53" s="925"/>
      <c r="AK53" s="925"/>
      <c r="AL53" s="925"/>
      <c r="AM53" s="925"/>
      <c r="AN53" s="925"/>
      <c r="AO53" s="943"/>
      <c r="AP53" s="925"/>
      <c r="AQ53" s="925"/>
      <c r="AR53" s="925"/>
      <c r="AS53" s="925"/>
      <c r="AT53" s="944"/>
      <c r="AU53" s="3840"/>
      <c r="BA53" s="3432">
        <v>11</v>
      </c>
    </row>
    <row customHeight="1" ht="11.549999999999999">
      <c r="A54" s="3857" t="s">
        <v>215</v>
      </c>
      <c r="B54" s="3857" t="s">
        <v>216</v>
      </c>
      <c r="C54" s="3857" t="s">
        <v>217</v>
      </c>
      <c r="D54" s="3857" t="s">
        <v>218</v>
      </c>
      <c r="E54" s="3824"/>
      <c r="F54" s="3824"/>
      <c r="G54" s="3824"/>
      <c r="H54" s="3824"/>
      <c r="I54" s="3835"/>
      <c r="J54" s="3835"/>
      <c r="K54" s="3711"/>
      <c r="R54" s="3836"/>
      <c r="S54" s="3876"/>
      <c r="T54" s="946"/>
      <c r="U54" s="3819"/>
      <c r="V54" s="925"/>
      <c r="W54" s="926" t="str">
        <f>X51&amp;"-"&amp;Z51</f>
        <v>-</v>
      </c>
      <c r="X54" s="925"/>
      <c r="Y54" s="925"/>
      <c r="Z54" s="925"/>
      <c r="AA54" s="925"/>
      <c r="AB54" s="210"/>
      <c r="AC54" s="948"/>
      <c r="AD54" s="949"/>
      <c r="AE54" s="167" t="s">
        <v>482</v>
      </c>
      <c r="AF54" s="925"/>
      <c r="AG54" s="925"/>
      <c r="AH54" s="925"/>
      <c r="AI54" s="925"/>
      <c r="AJ54" s="925"/>
      <c r="AK54" s="925"/>
      <c r="AL54" s="925"/>
      <c r="AM54" s="925"/>
      <c r="AN54" s="925"/>
      <c r="AO54" s="926" t="str">
        <f>AP51&amp;"-"&amp;AR51</f>
        <v>-</v>
      </c>
      <c r="AP54" s="925"/>
      <c r="AQ54" s="925"/>
      <c r="AR54" s="925"/>
      <c r="AS54" s="925"/>
      <c r="AT54" s="884"/>
      <c r="AU54" s="3840"/>
      <c r="AX54" s="3479" t="str">
        <f>IF(T54="","",T54)</f>
        <v/>
      </c>
      <c r="BA54" s="3432">
        <v>11</v>
      </c>
    </row>
    <row customHeight="1" ht="11.549999999999999">
      <c r="A55" s="3857" t="s">
        <v>215</v>
      </c>
      <c r="B55" s="3857" t="s">
        <v>216</v>
      </c>
      <c r="C55" s="3857" t="s">
        <v>217</v>
      </c>
      <c r="D55" s="3857" t="s">
        <v>218</v>
      </c>
      <c r="E55" s="3824"/>
      <c r="F55" s="3824"/>
      <c r="G55" s="3824"/>
      <c r="H55" s="3824"/>
      <c r="I55" s="3835"/>
      <c r="J55" s="3711"/>
      <c r="R55" s="3831"/>
      <c r="S55" s="844"/>
      <c r="T55" s="848" t="s">
        <v>483</v>
      </c>
      <c r="U55" s="200"/>
      <c r="V55" s="200"/>
      <c r="W55" s="200"/>
      <c r="X55" s="200"/>
      <c r="Y55" s="200"/>
      <c r="Z55" s="200"/>
      <c r="AA55" s="846"/>
      <c r="AB55" s="971"/>
      <c r="AC55" s="200"/>
      <c r="AD55" s="200"/>
      <c r="AE55" s="200"/>
      <c r="AF55" s="200"/>
      <c r="AG55" s="200"/>
      <c r="AH55" s="200"/>
      <c r="AI55" s="200"/>
      <c r="AJ55" s="200"/>
      <c r="AK55" s="200"/>
      <c r="AL55" s="200"/>
      <c r="AM55" s="200"/>
      <c r="AN55" s="200"/>
      <c r="AO55" s="200"/>
      <c r="AP55" s="200"/>
      <c r="AQ55" s="200"/>
      <c r="AR55" s="200"/>
      <c r="AS55" s="200"/>
      <c r="AT55" s="846"/>
      <c r="AU55" s="3841"/>
      <c r="AX55" s="3479" t="str">
        <f>IF(T55="","",T55)</f>
        <v>Добавить строку</v>
      </c>
      <c r="BA55" s="3432">
        <v>11</v>
      </c>
    </row>
    <row customHeight="1" ht="1.05">
      <c r="A56" s="3470" t="s">
        <v>215</v>
      </c>
      <c r="B56" s="3470" t="s">
        <v>216</v>
      </c>
      <c r="C56" s="3470" t="s">
        <v>217</v>
      </c>
      <c r="D56" s="3470" t="s">
        <v>218</v>
      </c>
      <c r="E56" s="3824"/>
      <c r="F56" s="3824"/>
      <c r="G56" s="3824"/>
      <c r="H56" s="3824"/>
      <c r="I56" s="3711"/>
      <c r="R56" s="3831"/>
      <c r="S56" s="894"/>
      <c r="T56" s="895" t="s">
        <v>427</v>
      </c>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7"/>
      <c r="AX56" s="3479" t="str">
        <f>IF(T56="","",T56)</f>
        <v>Добавить группу потребителей</v>
      </c>
      <c r="BA56" s="3473">
        <v>1</v>
      </c>
    </row>
    <row customHeight="1" ht="1.05">
      <c r="A57" s="3470" t="s">
        <v>215</v>
      </c>
      <c r="B57" s="3470" t="s">
        <v>216</v>
      </c>
      <c r="C57" s="3470" t="s">
        <v>217</v>
      </c>
      <c r="D57" s="3470" t="s">
        <v>218</v>
      </c>
      <c r="E57" s="3824"/>
      <c r="F57" s="3824"/>
      <c r="G57" s="3824"/>
      <c r="H57" s="3817"/>
      <c r="R57" s="972"/>
      <c r="S57" s="894"/>
      <c r="T57" s="895"/>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7"/>
      <c r="AX57" s="3479" t="str">
        <f>IF(T57="","",T57)</f>
        <v/>
      </c>
      <c r="BA57" s="3637">
        <v>1</v>
      </c>
    </row>
    <row customHeight="1" ht="1.05">
      <c r="A58" s="3470" t="s">
        <v>215</v>
      </c>
      <c r="B58" s="3470" t="s">
        <v>216</v>
      </c>
      <c r="C58" s="3470" t="s">
        <v>217</v>
      </c>
      <c r="E58" s="3824"/>
      <c r="F58" s="3824"/>
      <c r="G58" s="3817"/>
      <c r="T58" s="856" t="s">
        <v>429</v>
      </c>
      <c r="AX58" s="3479" t="str">
        <f>IF(T58="","",T58)</f>
        <v>Добавить источник для дифференциации</v>
      </c>
      <c r="BA58" s="3473">
        <v>1</v>
      </c>
    </row>
    <row customHeight="1" ht="1.05">
      <c r="A59" s="3470" t="s">
        <v>215</v>
      </c>
      <c r="B59" s="3470" t="s">
        <v>216</v>
      </c>
      <c r="E59" s="3824"/>
      <c r="F59" s="3817"/>
      <c r="T59" s="856" t="s">
        <v>430</v>
      </c>
      <c r="AX59" s="3479" t="str">
        <f>IF(T59="","",T59)</f>
        <v>Добавить централизованную систему для дифференциации</v>
      </c>
      <c r="BA59" s="3473">
        <v>1</v>
      </c>
    </row>
    <row customHeight="1" ht="1.05">
      <c r="A60" s="3470" t="s">
        <v>215</v>
      </c>
      <c r="E60" s="3824"/>
      <c r="T60" s="856" t="s">
        <v>431</v>
      </c>
      <c r="AX60" s="3479" t="str">
        <f>IF(T60="","",T60)</f>
        <v>Добавить территорию для дифференциации</v>
      </c>
      <c r="BA60" s="3473">
        <v>1</v>
      </c>
    </row>
    <row customHeight="1" ht="1.05">
      <c r="A61" s="3470" t="s">
        <v>215</v>
      </c>
      <c r="E61" s="3817"/>
      <c r="T61" s="856" t="s">
        <v>431</v>
      </c>
      <c r="AX61" s="3479" t="str">
        <f>IF(T61="","",T61)</f>
        <v>Добавить территорию для дифференциации</v>
      </c>
      <c r="BA61" s="3473">
        <v>1</v>
      </c>
    </row>
    <row customHeight="1" ht="1.05">
      <c r="T62" s="856" t="s">
        <v>463</v>
      </c>
      <c r="AX62" s="3479" t="str">
        <f>IF(T62="","",T62)</f>
        <v>Добавить наименование тарифа</v>
      </c>
      <c r="BA62" s="3473">
        <v>1</v>
      </c>
    </row>
    <row customHeight="1" ht="11.549999999999999">
      <c r="BA63" s="3432">
        <v>11</v>
      </c>
    </row>
    <row customHeight="1" ht="19.95">
      <c r="BA64" s="3432">
        <v>19</v>
      </c>
    </row>
    <row customHeight="1" ht="21">
      <c r="BA65" s="3432">
        <v>20</v>
      </c>
    </row>
    <row customHeight="1" ht="14.699999999999998">
      <c r="BA66" s="3432">
        <v>14</v>
      </c>
    </row>
    <row customHeight="1" ht="19.95">
      <c r="BA67" s="3432">
        <v>19</v>
      </c>
    </row>
    <row customHeight="1" ht="16.8">
      <c r="BA68" s="3432">
        <v>16</v>
      </c>
    </row>
    <row customHeight="1" ht="14.699999999999998">
      <c r="BA69" s="3432">
        <v>14</v>
      </c>
    </row>
    <row customHeight="1" ht="22.5" hidden="1">
      <c r="A70" s="3449" t="s">
        <v>80</v>
      </c>
      <c r="B70" s="3449">
        <v>0</v>
      </c>
      <c r="C70" s="3449">
        <v>0</v>
      </c>
      <c r="D70" s="3449">
        <v>0</v>
      </c>
      <c r="E70" s="3449">
        <v>0</v>
      </c>
      <c r="F70" s="3449">
        <v>0</v>
      </c>
      <c r="G70" s="3449">
        <v>0</v>
      </c>
      <c r="H70" s="3449">
        <v>0</v>
      </c>
      <c r="I70" s="3449">
        <v>0</v>
      </c>
      <c r="J70" s="3449">
        <v>0</v>
      </c>
      <c r="K70" s="3449">
        <v>0</v>
      </c>
      <c r="L70" s="3618">
        <v>0</v>
      </c>
      <c r="M70" s="105">
        <v>0</v>
      </c>
      <c r="N70" s="105">
        <v>0</v>
      </c>
      <c r="O70" s="105">
        <v>0</v>
      </c>
      <c r="P70" s="105">
        <v>3</v>
      </c>
      <c r="Q70" s="3913">
        <v>3</v>
      </c>
      <c r="R70" s="3797">
        <v>3</v>
      </c>
      <c r="S70" s="3447">
        <v>12</v>
      </c>
      <c r="T70" s="3432">
        <v>31</v>
      </c>
      <c r="U70" s="3432">
        <v>0</v>
      </c>
      <c r="V70" s="3432">
        <v>0</v>
      </c>
      <c r="W70" s="3432">
        <v>0</v>
      </c>
      <c r="X70" s="3432">
        <v>0</v>
      </c>
      <c r="Y70" s="3432">
        <v>0</v>
      </c>
      <c r="Z70" s="3432">
        <v>0</v>
      </c>
      <c r="AA70" s="3432">
        <v>0</v>
      </c>
      <c r="AB70" s="3432">
        <v>5</v>
      </c>
      <c r="AC70" s="3432">
        <v>3</v>
      </c>
      <c r="AD70" s="3432">
        <v>3</v>
      </c>
      <c r="AE70" s="3432">
        <v>24</v>
      </c>
      <c r="AF70" s="3432">
        <v>3</v>
      </c>
      <c r="AG70" s="3432">
        <v>3</v>
      </c>
      <c r="AH70" s="3432">
        <v>3</v>
      </c>
      <c r="AI70" s="3432">
        <v>24</v>
      </c>
      <c r="AJ70" s="3432">
        <v>3</v>
      </c>
      <c r="AK70" s="3432">
        <v>3</v>
      </c>
      <c r="AL70" s="3432">
        <v>3</v>
      </c>
      <c r="AM70" s="3432">
        <v>18</v>
      </c>
      <c r="AN70" s="3432">
        <v>21</v>
      </c>
      <c r="AO70" s="3432">
        <v>21</v>
      </c>
      <c r="AP70" s="3432">
        <v>11</v>
      </c>
      <c r="AQ70" s="3432">
        <v>3</v>
      </c>
      <c r="AR70" s="3432">
        <v>11</v>
      </c>
      <c r="AS70" s="3432">
        <v>8</v>
      </c>
      <c r="AT70" s="3432">
        <v>4</v>
      </c>
      <c r="AU70" s="3432">
        <v>115</v>
      </c>
      <c r="AV70" s="3473">
        <v>10</v>
      </c>
      <c r="AW70" s="3473">
        <v>10</v>
      </c>
      <c r="AX70" s="3473">
        <v>10</v>
      </c>
      <c r="AY70" s="3473">
        <v>10</v>
      </c>
      <c r="AZ70" s="3473">
        <v>10</v>
      </c>
      <c r="BA70" s="343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B044F-27DD-D6A8-CE19-BB7984FC9E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4.140625" hidden="1" customWidth="1"/>
    <col min="10" max="10" style="7348" width="9.8515625" hidden="1" customWidth="1"/>
    <col min="11" max="11" style="7348" width="14.71093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4" style="7348" width="24.7109375" hidden="1" customWidth="1"/>
    <col min="25" max="25" style="7348" width="11.7109375" hidden="1" customWidth="1"/>
    <col min="26" max="26" style="7348" width="3.7109375" hidden="1" customWidth="1"/>
    <col min="27" max="27" style="7348" width="11.7109375" hidden="1" customWidth="1"/>
    <col min="28" max="28" style="7348" width="8.57421875" hidden="1" customWidth="1"/>
    <col min="29" max="29" style="7348" width="24.7109375" customWidth="1"/>
    <col min="30" max="31" style="7348" width="24.00390625" customWidth="1"/>
    <col min="32" max="32" style="7348" width="11.00390625" customWidth="1"/>
    <col min="33" max="33" style="7348" width="3.7109375" customWidth="1"/>
    <col min="34" max="34" style="7348" width="11.00390625" customWidth="1"/>
    <col min="35" max="35" style="7348" width="8.57421875" hidden="1" customWidth="1"/>
    <col min="36" max="36" style="7348" width="4.00390625" customWidth="1"/>
    <col min="37" max="37" style="7348" width="115.00390625" customWidth="1"/>
    <col min="38" max="42" style="7348" width="10.00390625" customWidth="1"/>
    <col min="43" max="43" style="7348" width="10.57421875" hidden="1"/>
  </cols>
  <sheetData>
    <row customHeight="1" ht="22.5" hidden="1">
      <c r="AQ1" s="3432" t="s">
        <v>14</v>
      </c>
    </row>
    <row customHeight="1" ht="23.25" hidden="1">
      <c r="E2" s="3817">
        <v>1</v>
      </c>
      <c r="R2" s="816"/>
      <c r="S2" s="3818">
        <f>INDEX(PT_DIFFERENTIATION_NUM_NTAR,MATCH(A2,PT_DIFFERENTIATION_NTAR_ID,0))</f>
      </c>
      <c r="T2" s="3764" t="s">
        <v>141</v>
      </c>
      <c r="U2" s="3819"/>
      <c r="V2" s="3820"/>
      <c r="W2" s="3821"/>
      <c r="X2" s="3821"/>
      <c r="Y2" s="3821"/>
      <c r="Z2" s="3821"/>
      <c r="AA2" s="3821"/>
      <c r="AB2" s="3822"/>
      <c r="AC2" s="3820">
        <f>INDEX(PT_DIFFERENTIATION_NTAR,MATCH(A2,PT_DIFFERENTIATION_NTAR_ID,0))</f>
      </c>
      <c r="AD2" s="3821"/>
      <c r="AE2" s="3821"/>
      <c r="AF2" s="3821"/>
      <c r="AG2" s="3821"/>
      <c r="AH2" s="3821"/>
      <c r="AI2" s="3821"/>
      <c r="AJ2" s="3822"/>
      <c r="AK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3479" t="str">
        <f>IF(T2="","",T2)</f>
        <v>Наименование тарифа</v>
      </c>
      <c r="AQ2" s="3432">
        <v>0</v>
      </c>
    </row>
    <row customHeight="1" ht="23.25" hidden="1">
      <c r="E3" s="3824"/>
      <c r="F3" s="3817">
        <v>1</v>
      </c>
      <c r="Q3" s="3825"/>
      <c r="R3" s="3826"/>
      <c r="S3" s="3818">
        <f>INDEX(PT_DIFFERENTIATION_NUM_TER,MATCH(B3,PT_DIFFERENTIATION_TER_ID,0))</f>
      </c>
      <c r="T3" s="3827" t="s">
        <v>412</v>
      </c>
      <c r="U3" s="3819"/>
      <c r="V3" s="3820"/>
      <c r="W3" s="3821"/>
      <c r="X3" s="3821"/>
      <c r="Y3" s="3821"/>
      <c r="Z3" s="3821"/>
      <c r="AA3" s="3821"/>
      <c r="AB3" s="3822"/>
      <c r="AC3" s="3820">
        <f>INDEX(PT_DIFFERENTIATION_TER,MATCH(B3,PT_DIFFERENTIATION_TER_ID,0))</f>
      </c>
      <c r="AD3" s="3821"/>
      <c r="AE3" s="3821"/>
      <c r="AF3" s="3821"/>
      <c r="AG3" s="3821"/>
      <c r="AH3" s="3821"/>
      <c r="AI3" s="3821"/>
      <c r="AJ3" s="3822"/>
      <c r="AK3" s="3823" t="s">
        <v>413</v>
      </c>
      <c r="AN3" s="3479" t="str">
        <f>IF(T3="","",T3)</f>
        <v>Территория действия тарифа</v>
      </c>
      <c r="AQ3" s="3432">
        <v>0</v>
      </c>
    </row>
    <row customHeight="1" ht="23.25" hidden="1">
      <c r="E4" s="3824"/>
      <c r="F4" s="3824"/>
      <c r="G4" s="3817">
        <v>1</v>
      </c>
      <c r="Q4" s="3825"/>
      <c r="R4" s="3826"/>
      <c r="S4" s="3818">
        <f>INDEX(PT_DIFFERENTIATION_NUM_CS,MATCH(C4,PT_DIFFERENTIATION_CS_ID,0))</f>
      </c>
      <c r="T4" s="3828" t="s">
        <v>496</v>
      </c>
      <c r="U4" s="3819"/>
      <c r="V4" s="3820"/>
      <c r="W4" s="3821"/>
      <c r="X4" s="3821"/>
      <c r="Y4" s="3821"/>
      <c r="Z4" s="3821"/>
      <c r="AA4" s="3821"/>
      <c r="AB4" s="3822"/>
      <c r="AC4" s="3820">
        <f>INDEX(PT_DIFFERENTIATION_CS,MATCH(C4,PT_DIFFERENTIATION_CS_ID,0))</f>
      </c>
      <c r="AD4" s="3821"/>
      <c r="AE4" s="3821"/>
      <c r="AF4" s="3821"/>
      <c r="AG4" s="3821"/>
      <c r="AH4" s="3821"/>
      <c r="AI4" s="3821"/>
      <c r="AJ4" s="3822"/>
      <c r="AK4" s="3823" t="s">
        <v>497</v>
      </c>
      <c r="AN4" s="3479" t="str">
        <f>IF(T4="","",T4)</f>
        <v>Наименование централизованной системы холодного водоснабжения</v>
      </c>
      <c r="AQ4" s="3432">
        <v>0</v>
      </c>
    </row>
    <row customHeight="1" ht="23.25" hidden="1">
      <c r="E5" s="3824"/>
      <c r="F5" s="3824"/>
      <c r="G5" s="3824"/>
      <c r="H5" s="3824"/>
      <c r="I5" s="3711">
        <f>S4&amp;".1"</f>
      </c>
      <c r="P5" s="3471">
        <v>1</v>
      </c>
      <c r="R5" s="3831"/>
      <c r="S5" s="3818">
        <f>$I5</f>
      </c>
      <c r="T5" s="3832" t="s">
        <v>498</v>
      </c>
      <c r="U5" s="3819"/>
      <c r="V5" s="3938"/>
      <c r="W5" s="3939"/>
      <c r="X5" s="3939"/>
      <c r="Y5" s="3939"/>
      <c r="Z5" s="3939"/>
      <c r="AA5" s="3939"/>
      <c r="AB5" s="3940"/>
      <c r="AC5" s="1018"/>
      <c r="AD5" s="1031"/>
      <c r="AE5" s="1031"/>
      <c r="AF5" s="1031"/>
      <c r="AG5" s="1031"/>
      <c r="AH5" s="1031"/>
      <c r="AI5" s="1031"/>
      <c r="AJ5" s="1032"/>
      <c r="AK5" s="3823" t="s">
        <v>499</v>
      </c>
      <c r="AN5" s="3479" t="str">
        <f>IF(T5="","",T5)</f>
        <v>Наименование признака дифференциации</v>
      </c>
      <c r="AQ5" s="3432">
        <v>0</v>
      </c>
    </row>
    <row customHeight="1" ht="23.25" hidden="1">
      <c r="E6" s="3824"/>
      <c r="F6" s="3824"/>
      <c r="G6" s="3824"/>
      <c r="H6" s="3824"/>
      <c r="I6" s="3835"/>
      <c r="J6" s="3711">
        <f>I5&amp;".1"</f>
      </c>
      <c r="L6" s="3830" t="s">
        <v>421</v>
      </c>
      <c r="Q6" s="3471">
        <v>1</v>
      </c>
      <c r="R6" s="3836"/>
      <c r="S6" s="3818">
        <f>$J6</f>
      </c>
      <c r="T6" s="3837" t="s">
        <v>422</v>
      </c>
      <c r="U6" s="3819"/>
      <c r="V6" s="3638"/>
      <c r="W6" s="3833"/>
      <c r="X6" s="3833"/>
      <c r="Y6" s="3833"/>
      <c r="Z6" s="3833"/>
      <c r="AA6" s="3833"/>
      <c r="AB6" s="3834"/>
      <c r="AC6" s="3638"/>
      <c r="AD6" s="3833"/>
      <c r="AE6" s="3833"/>
      <c r="AF6" s="3833"/>
      <c r="AG6" s="3833"/>
      <c r="AH6" s="3833"/>
      <c r="AI6" s="3833"/>
      <c r="AJ6" s="3834"/>
      <c r="AK6" s="3883" t="s">
        <v>500</v>
      </c>
      <c r="AN6" s="3479" t="str">
        <f>IF(T6="","",T6)</f>
        <v>Группа потребителей</v>
      </c>
      <c r="AQ6" s="3432">
        <v>0</v>
      </c>
    </row>
    <row customHeight="1" ht="23.25" hidden="1">
      <c r="E7" s="3824"/>
      <c r="F7" s="3824"/>
      <c r="G7" s="3824"/>
      <c r="H7" s="3824"/>
      <c r="I7" s="3835"/>
      <c r="J7" s="3835"/>
      <c r="K7" s="3711">
        <f>J6&amp;".1"</f>
      </c>
      <c r="R7" s="3836">
        <v>1</v>
      </c>
      <c r="S7" s="3818">
        <f>$K7</f>
      </c>
      <c r="T7" s="1033"/>
      <c r="U7" s="3819"/>
      <c r="V7" s="838"/>
      <c r="W7" s="838"/>
      <c r="X7" s="840"/>
      <c r="Y7" s="572"/>
      <c r="Z7" s="210" t="s">
        <v>61</v>
      </c>
      <c r="AA7" s="572"/>
      <c r="AB7" s="210" t="s">
        <v>61</v>
      </c>
      <c r="AC7" s="838"/>
      <c r="AD7" s="838"/>
      <c r="AE7" s="840"/>
      <c r="AF7" s="572"/>
      <c r="AG7" s="210" t="s">
        <v>61</v>
      </c>
      <c r="AH7" s="881"/>
      <c r="AI7" s="210" t="s">
        <v>61</v>
      </c>
      <c r="AJ7" s="1034"/>
      <c r="AK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473">
        <f>STRCHECKDATE(V8:AJ8)</f>
      </c>
      <c r="AN7" s="3479" t="str">
        <f>IF(T7="","",T7)</f>
        <v/>
      </c>
      <c r="AQ7" s="3432">
        <v>0</v>
      </c>
    </row>
    <row customHeight="1" ht="14.25" hidden="1">
      <c r="E8" s="3824"/>
      <c r="F8" s="3824"/>
      <c r="G8" s="3824"/>
      <c r="H8" s="3824"/>
      <c r="I8" s="3835"/>
      <c r="J8" s="3835"/>
      <c r="K8" s="3711"/>
      <c r="R8" s="3836"/>
      <c r="S8" s="421"/>
      <c r="T8" s="3819"/>
      <c r="U8" s="3819"/>
      <c r="V8" s="839"/>
      <c r="W8" s="839"/>
      <c r="X8" s="842" t="str">
        <f>Y7&amp;"-"&amp;AA7</f>
        <v>-</v>
      </c>
      <c r="Y8" s="573"/>
      <c r="Z8" s="210"/>
      <c r="AA8" s="573"/>
      <c r="AB8" s="210"/>
      <c r="AC8" s="839"/>
      <c r="AD8" s="839"/>
      <c r="AE8" s="842" t="str">
        <f>AF7&amp;"-"&amp;AH7</f>
        <v>-</v>
      </c>
      <c r="AF8" s="573"/>
      <c r="AG8" s="210"/>
      <c r="AH8" s="883"/>
      <c r="AI8" s="210"/>
      <c r="AJ8" s="1015"/>
      <c r="AK8" s="3941"/>
      <c r="AN8" s="3479" t="str">
        <f>IF(T8="","",T8)</f>
        <v/>
      </c>
      <c r="AQ8" s="3432">
        <v>0</v>
      </c>
    </row>
    <row customHeight="1" ht="21" hidden="1">
      <c r="E9" s="3824"/>
      <c r="F9" s="3824"/>
      <c r="G9" s="3824"/>
      <c r="H9" s="3824"/>
      <c r="I9" s="3835"/>
      <c r="J9" s="3711"/>
      <c r="R9" s="3831"/>
      <c r="S9" s="844"/>
      <c r="T9" s="848" t="s">
        <v>501</v>
      </c>
      <c r="U9" s="200"/>
      <c r="V9" s="200"/>
      <c r="W9" s="200"/>
      <c r="X9" s="200"/>
      <c r="Y9" s="200"/>
      <c r="Z9" s="200"/>
      <c r="AA9" s="200"/>
      <c r="AB9" s="200"/>
      <c r="AC9" s="200"/>
      <c r="AD9" s="200"/>
      <c r="AE9" s="200"/>
      <c r="AF9" s="200"/>
      <c r="AG9" s="200"/>
      <c r="AH9" s="200"/>
      <c r="AI9" s="200"/>
      <c r="AJ9" s="200"/>
      <c r="AK9" s="3823" t="s">
        <v>502</v>
      </c>
      <c r="AN9" s="3479" t="str">
        <f>IF(T9="","",T9)</f>
        <v>Добавить значение признака дифференциации</v>
      </c>
      <c r="AQ9" s="3432">
        <v>0</v>
      </c>
    </row>
    <row customHeight="1" ht="21" hidden="1">
      <c r="E10" s="3824"/>
      <c r="F10" s="3824"/>
      <c r="G10" s="3824"/>
      <c r="H10" s="3824"/>
      <c r="I10" s="3711"/>
      <c r="R10" s="3831"/>
      <c r="S10" s="844"/>
      <c r="T10" s="851" t="s">
        <v>427</v>
      </c>
      <c r="U10" s="200"/>
      <c r="V10" s="200"/>
      <c r="W10" s="200"/>
      <c r="X10" s="200"/>
      <c r="Y10" s="200"/>
      <c r="Z10" s="200"/>
      <c r="AA10" s="200"/>
      <c r="AB10" s="849"/>
      <c r="AC10" s="200"/>
      <c r="AD10" s="200"/>
      <c r="AE10" s="200"/>
      <c r="AF10" s="200"/>
      <c r="AG10" s="200"/>
      <c r="AH10" s="200"/>
      <c r="AI10" s="849"/>
      <c r="AJ10" s="200"/>
      <c r="AK10" s="1036"/>
      <c r="AN10" s="3479" t="str">
        <f>IF(T10="","",T10)</f>
        <v>Добавить группу потребителей</v>
      </c>
      <c r="AQ10" s="3432">
        <v>0</v>
      </c>
    </row>
    <row customHeight="1" ht="14.25" hidden="1">
      <c r="E11" s="3824"/>
      <c r="F11" s="3824"/>
      <c r="G11" s="3824"/>
      <c r="H11" s="3817"/>
      <c r="R11" s="816"/>
      <c r="S11" s="844"/>
      <c r="T11" s="994" t="s">
        <v>503</v>
      </c>
      <c r="U11" s="200"/>
      <c r="V11" s="200"/>
      <c r="W11" s="200"/>
      <c r="X11" s="200"/>
      <c r="Y11" s="200"/>
      <c r="Z11" s="200"/>
      <c r="AA11" s="200"/>
      <c r="AB11" s="849"/>
      <c r="AC11" s="200"/>
      <c r="AD11" s="200"/>
      <c r="AE11" s="200"/>
      <c r="AF11" s="200"/>
      <c r="AG11" s="200"/>
      <c r="AH11" s="200"/>
      <c r="AI11" s="849"/>
      <c r="AJ11" s="200"/>
      <c r="AK11" s="850"/>
      <c r="AN11" s="3479" t="str">
        <f>IF(T11="","",T11)</f>
        <v>Добавить наименование признака дифференциации</v>
      </c>
      <c r="AQ11" s="3432">
        <v>0</v>
      </c>
    </row>
    <row customHeight="1" ht="14.25" hidden="1">
      <c r="E12" s="3824"/>
      <c r="F12" s="3817"/>
      <c r="T12" s="856" t="s">
        <v>430</v>
      </c>
      <c r="AN12" s="3479" t="str">
        <f>IF(T12="","",T12)</f>
        <v>Добавить централизованную систему для дифференциации</v>
      </c>
      <c r="AQ12" s="3473">
        <v>0</v>
      </c>
    </row>
    <row customHeight="1" ht="14.25" hidden="1">
      <c r="E13" s="3817"/>
      <c r="T13" s="856" t="s">
        <v>431</v>
      </c>
      <c r="AN13" s="3479" t="str">
        <f>IF(T13="","",T13)</f>
        <v>Добавить территорию для дифференциации</v>
      </c>
      <c r="AQ13" s="3473">
        <v>0</v>
      </c>
    </row>
    <row customHeight="1" ht="14.25" hidden="1">
      <c r="AQ14" s="3432">
        <v>0</v>
      </c>
    </row>
    <row customHeight="1" ht="14.25" hidden="1">
      <c r="AC15" s="719"/>
      <c r="AD15" s="719"/>
      <c r="AE15" s="857"/>
      <c r="AF15" s="858"/>
      <c r="AG15" s="616" t="s">
        <v>61</v>
      </c>
      <c r="AH15" s="858"/>
      <c r="AI15" s="616" t="s">
        <v>61</v>
      </c>
      <c r="AQ15" s="3432">
        <v>0</v>
      </c>
    </row>
    <row customHeight="1" ht="14.25" hidden="1">
      <c r="AC16" s="719"/>
      <c r="AD16" s="719"/>
      <c r="AE16" s="842" t="str">
        <f>AF15&amp;"-"&amp;AH15</f>
        <v>-</v>
      </c>
      <c r="AF16" s="616"/>
      <c r="AG16" s="616"/>
      <c r="AH16" s="616"/>
      <c r="AI16" s="616"/>
      <c r="AQ16" s="3432">
        <v>0</v>
      </c>
    </row>
    <row customHeight="1" ht="14.25" hidden="1">
      <c r="AQ17" s="3432">
        <v>0</v>
      </c>
    </row>
    <row customHeight="1" ht="22.5" hidden="1">
      <c r="O18" s="859" t="s">
        <v>432</v>
      </c>
      <c r="Y18" s="859"/>
      <c r="AA18" s="859"/>
      <c r="AF18" s="859"/>
      <c r="AH18" s="859"/>
      <c r="AQ18" s="3449">
        <v>0</v>
      </c>
    </row>
    <row customHeight="1" ht="14.25" hidden="1">
      <c r="AQ19" s="3449">
        <v>0</v>
      </c>
    </row>
    <row customHeight="1" ht="12" hidden="1">
      <c r="O20" s="3830" t="s">
        <v>433</v>
      </c>
      <c r="T20" s="3449" t="s">
        <v>434</v>
      </c>
      <c r="Z20" s="3511" t="s">
        <v>435</v>
      </c>
      <c r="AB20" s="3511" t="s">
        <v>436</v>
      </c>
      <c r="AC20" s="3449" t="s">
        <v>434</v>
      </c>
      <c r="AG20" s="3511" t="s">
        <v>437</v>
      </c>
      <c r="AI20" s="3511" t="s">
        <v>436</v>
      </c>
      <c r="AQ20" s="3449">
        <v>0</v>
      </c>
    </row>
    <row customHeight="1" ht="14.25" hidden="1">
      <c r="AQ21" s="3432">
        <v>0</v>
      </c>
    </row>
    <row customHeight="1" ht="14.25" hidden="1">
      <c r="AQ22" s="3432">
        <v>0</v>
      </c>
    </row>
    <row customHeight="1" ht="14.699999999999998">
      <c r="Q23" s="3719"/>
      <c r="R23" s="3719"/>
      <c r="S23" s="3842"/>
      <c r="T23" s="3450"/>
      <c r="U23" s="3450"/>
      <c r="AQ23" s="3432">
        <v>14</v>
      </c>
    </row>
    <row customHeight="1" ht="14.699999999999998">
      <c r="Q24" s="3719"/>
      <c r="R24" s="3719"/>
      <c r="S24" s="3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46"/>
      <c r="U24" s="3646"/>
      <c r="V24" s="3646"/>
      <c r="W24" s="3646"/>
      <c r="X24" s="3646"/>
      <c r="Y24" s="3646"/>
      <c r="Z24" s="3646"/>
      <c r="AA24" s="3646"/>
      <c r="AB24" s="3646"/>
      <c r="AC24" s="3646"/>
      <c r="AD24" s="3646"/>
      <c r="AE24" s="3646"/>
      <c r="AF24" s="3646"/>
      <c r="AG24" s="3646"/>
      <c r="AH24" s="3646"/>
      <c r="AQ24" s="3432">
        <v>14</v>
      </c>
    </row>
    <row customHeight="1" ht="14.699999999999998">
      <c r="Q25" s="3719"/>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Q25" s="3432">
        <v>14</v>
      </c>
    </row>
    <row customHeight="1" ht="14.25" hidden="1">
      <c r="Q26" s="3719"/>
      <c r="R26" s="3719"/>
      <c r="S26" s="3842"/>
      <c r="T26" s="3450"/>
      <c r="U26" s="3450"/>
      <c r="V26" s="3804"/>
      <c r="W26" s="3804"/>
      <c r="X26" s="3804"/>
      <c r="Y26" s="3804"/>
      <c r="Z26" s="3804"/>
      <c r="AA26" s="3804"/>
      <c r="AB26" s="3804"/>
      <c r="AC26" s="3804"/>
      <c r="AD26" s="3804"/>
      <c r="AE26" s="3804"/>
      <c r="AF26" s="3804"/>
      <c r="AG26" s="3804"/>
      <c r="AH26" s="3804"/>
      <c r="AI26" s="3804"/>
      <c r="AQ26" s="3432">
        <v>0</v>
      </c>
    </row>
    <row customHeight="1" ht="25.5" hidden="1">
      <c r="S27" s="3843" t="s">
        <v>41</v>
      </c>
      <c r="T27" s="3843"/>
      <c r="U27" s="3844"/>
      <c r="V27" s="3806" t="str">
        <f>IF(TITLE_NAME_OR_PR_CHANGE="",IF(TITLE_NAME_OR_PR="","",TITLE_NAME_OR_PR),TITLE_NAME_OR_PR_CHANGE)</f>
        <v/>
      </c>
      <c r="W27" s="3806"/>
      <c r="X27" s="3806"/>
      <c r="Y27" s="3806"/>
      <c r="Z27" s="3806"/>
      <c r="AA27" s="3806"/>
      <c r="AC27" s="3806" t="str">
        <f>IF(TITLE_NAME_OR_PR_CHANGE="",IF(TITLE_NAME_OR_PR="","",TITLE_NAME_OR_PR),TITLE_NAME_OR_PR_CHANGE)</f>
        <v/>
      </c>
      <c r="AD27" s="3806"/>
      <c r="AE27" s="3806"/>
      <c r="AF27" s="3806"/>
      <c r="AG27" s="3806"/>
      <c r="AH27" s="3806"/>
      <c r="AQ27" s="3489">
        <v>0</v>
      </c>
    </row>
    <row customHeight="1" ht="18.75" hidden="1">
      <c r="S28" s="3843" t="s">
        <v>438</v>
      </c>
      <c r="T28" s="3843"/>
      <c r="U28" s="3844"/>
      <c r="V28" s="795" t="str">
        <f>IF(TITLE_DATE_PR_CHANGE="",IF(TITLE_DATE_PR="","",TITLE_DATE_PR),TITLE_DATE_PR_CHANGE)</f>
        <v/>
      </c>
      <c r="W28" s="795"/>
      <c r="X28" s="795"/>
      <c r="Y28" s="795"/>
      <c r="Z28" s="795"/>
      <c r="AA28" s="795"/>
      <c r="AC28" s="795" t="str">
        <f>IF(TITLE_DATE_PR_CHANGE="",IF(TITLE_DATE_PR="","",TITLE_DATE_PR),TITLE_DATE_PR_CHANGE)</f>
        <v/>
      </c>
      <c r="AD28" s="795"/>
      <c r="AE28" s="795"/>
      <c r="AF28" s="795"/>
      <c r="AG28" s="795"/>
      <c r="AH28" s="795"/>
      <c r="AQ28" s="3489">
        <v>0</v>
      </c>
    </row>
    <row customHeight="1" ht="18.75" hidden="1">
      <c r="S29" s="3843" t="s">
        <v>439</v>
      </c>
      <c r="T29" s="3843"/>
      <c r="U29" s="3844"/>
      <c r="V29" s="3806" t="str">
        <f>IF(TITLE_NUMBER_PR_CHANGE="",IF(TITLE_NUMBER_PR="","",TITLE_NUMBER_PR),TITLE_NUMBER_PR_CHANGE)</f>
        <v/>
      </c>
      <c r="W29" s="3806"/>
      <c r="X29" s="3806"/>
      <c r="Y29" s="3806"/>
      <c r="Z29" s="3806"/>
      <c r="AA29" s="3806"/>
      <c r="AC29" s="3806" t="str">
        <f>IF(TITLE_NUMBER_PR_CHANGE="",IF(TITLE_NUMBER_PR="","",TITLE_NUMBER_PR),TITLE_NUMBER_PR_CHANGE)</f>
        <v/>
      </c>
      <c r="AD29" s="3806"/>
      <c r="AE29" s="3806"/>
      <c r="AF29" s="3806"/>
      <c r="AG29" s="3806"/>
      <c r="AH29" s="3806"/>
      <c r="AQ29" s="3489">
        <v>0</v>
      </c>
    </row>
    <row customHeight="1" ht="18.75" hidden="1">
      <c r="S30" s="3843" t="s">
        <v>42</v>
      </c>
      <c r="T30" s="3843"/>
      <c r="U30" s="3844"/>
      <c r="V30" s="3806" t="str">
        <f>IF(TITLE_IST_PUB_CHANGE="",IF(TITLE_IST_PUB="","",TITLE_IST_PUB),TITLE_IST_PUB_CHANGE)</f>
        <v/>
      </c>
      <c r="W30" s="3806"/>
      <c r="X30" s="3806"/>
      <c r="Y30" s="3806"/>
      <c r="Z30" s="3806"/>
      <c r="AA30" s="3806"/>
      <c r="AC30" s="3806" t="str">
        <f>IF(TITLE_IST_PUB_CHANGE="",IF(TITLE_IST_PUB="","",TITLE_IST_PUB),TITLE_IST_PUB_CHANGE)</f>
        <v/>
      </c>
      <c r="AD30" s="3806"/>
      <c r="AE30" s="3806"/>
      <c r="AF30" s="3806"/>
      <c r="AG30" s="3806"/>
      <c r="AH30" s="3806"/>
      <c r="AQ30" s="3489">
        <v>0</v>
      </c>
    </row>
    <row customHeight="1" ht="14.25" hidden="1">
      <c r="Q31" s="3719"/>
      <c r="R31" s="3719"/>
      <c r="S31" s="3842"/>
      <c r="T31" s="3450"/>
      <c r="U31" s="3450"/>
      <c r="V31" s="3804"/>
      <c r="W31" s="3804"/>
      <c r="X31" s="3804"/>
      <c r="Y31" s="3804"/>
      <c r="Z31" s="3804"/>
      <c r="AA31" s="3804"/>
      <c r="AB31" s="3804"/>
      <c r="AC31" s="3804"/>
      <c r="AD31" s="3804"/>
      <c r="AE31" s="3804"/>
      <c r="AF31" s="3804"/>
      <c r="AG31" s="3804"/>
      <c r="AH31" s="3804"/>
      <c r="AI31" s="3804"/>
      <c r="AQ31" s="3432">
        <v>0</v>
      </c>
    </row>
    <row customHeight="1" ht="18.75" hidden="1">
      <c r="S32" s="3843" t="s">
        <v>440</v>
      </c>
      <c r="T32" s="3843"/>
      <c r="U32" s="3844"/>
      <c r="V32" s="795" t="str">
        <f>IF(TITLE_DATE_PR_CHANGE="",IF(TITLE_DATE_PR="","",TITLE_DATE_PR),TITLE_DATE_PR_CHANGE)</f>
        <v/>
      </c>
      <c r="W32" s="795"/>
      <c r="X32" s="795"/>
      <c r="Y32" s="795"/>
      <c r="Z32" s="795"/>
      <c r="AA32" s="795"/>
      <c r="AC32" s="795" t="str">
        <f>IF(TITLE_DATE_PR_CHANGE="",IF(TITLE_DATE_PR="","",TITLE_DATE_PR),TITLE_DATE_PR_CHANGE)</f>
        <v/>
      </c>
      <c r="AD32" s="795"/>
      <c r="AE32" s="795"/>
      <c r="AF32" s="795"/>
      <c r="AG32" s="795"/>
      <c r="AH32" s="795"/>
      <c r="AQ32" s="3489">
        <v>0</v>
      </c>
    </row>
    <row customHeight="1" ht="18.75" hidden="1">
      <c r="S33" s="3843" t="s">
        <v>441</v>
      </c>
      <c r="T33" s="3843"/>
      <c r="U33" s="3844"/>
      <c r="V33" s="3806" t="str">
        <f>IF(TITLE_NUMBER_PR_CHANGE="",IF(TITLE_NUMBER_PR="","",TITLE_NUMBER_PR),TITLE_NUMBER_PR_CHANGE)</f>
        <v/>
      </c>
      <c r="W33" s="3806"/>
      <c r="X33" s="3806"/>
      <c r="Y33" s="3806"/>
      <c r="Z33" s="3806"/>
      <c r="AA33" s="3806"/>
      <c r="AC33" s="3806" t="str">
        <f>IF(TITLE_NUMBER_PR_CHANGE="",IF(TITLE_NUMBER_PR="","",TITLE_NUMBER_PR),TITLE_NUMBER_PR_CHANGE)</f>
        <v/>
      </c>
      <c r="AD33" s="3806"/>
      <c r="AE33" s="3806"/>
      <c r="AF33" s="3806"/>
      <c r="AG33" s="3806"/>
      <c r="AH33" s="3806"/>
      <c r="AQ33" s="3489">
        <v>0</v>
      </c>
    </row>
    <row customHeight="1" ht="1.05">
      <c r="AB34" s="3473" t="s">
        <v>442</v>
      </c>
      <c r="AI34" s="3473" t="s">
        <v>442</v>
      </c>
      <c r="AQ34" s="3489">
        <v>1</v>
      </c>
    </row>
    <row customHeight="1" ht="14.699999999999998">
      <c r="Q35" s="3719"/>
      <c r="R35" s="3719"/>
      <c r="S35" s="3842"/>
      <c r="T35" s="3450"/>
      <c r="U35" s="3845"/>
      <c r="V35" s="3846"/>
      <c r="W35" s="3846"/>
      <c r="X35" s="3846"/>
      <c r="Y35" s="3846"/>
      <c r="Z35" s="3846"/>
      <c r="AA35" s="3846"/>
      <c r="AB35" s="3846"/>
      <c r="AC35" s="3846"/>
      <c r="AD35" s="3846"/>
      <c r="AE35" s="3846"/>
      <c r="AF35" s="3846"/>
      <c r="AG35" s="3846"/>
      <c r="AH35" s="3846"/>
      <c r="AI35" s="3846"/>
      <c r="AQ35" s="3432">
        <v>14</v>
      </c>
    </row>
    <row customHeight="1" ht="14.699999999999998">
      <c r="Q36" s="3719"/>
      <c r="R36" s="3719"/>
      <c r="S36" s="3480" t="s">
        <v>315</v>
      </c>
      <c r="T36" s="3480"/>
      <c r="U36" s="3480"/>
      <c r="V36" s="3480"/>
      <c r="W36" s="3480"/>
      <c r="X36" s="3480"/>
      <c r="Y36" s="3480"/>
      <c r="Z36" s="3480"/>
      <c r="AA36" s="3480"/>
      <c r="AB36" s="3480"/>
      <c r="AC36" s="3480"/>
      <c r="AD36" s="3480"/>
      <c r="AE36" s="3480"/>
      <c r="AF36" s="3480"/>
      <c r="AG36" s="3480"/>
      <c r="AH36" s="3480"/>
      <c r="AI36" s="3480"/>
      <c r="AJ36" s="3480"/>
      <c r="AK36" s="3480" t="s">
        <v>316</v>
      </c>
      <c r="AQ36" s="3432">
        <v>14</v>
      </c>
    </row>
    <row customHeight="1" ht="14.699999999999998">
      <c r="Q37" s="3719"/>
      <c r="R37" s="3719"/>
      <c r="S37" s="3818" t="s">
        <v>86</v>
      </c>
      <c r="T37" s="3579" t="s">
        <v>443</v>
      </c>
      <c r="U37" s="3793"/>
      <c r="V37" s="3847" t="s">
        <v>444</v>
      </c>
      <c r="W37" s="3848"/>
      <c r="X37" s="3848"/>
      <c r="Y37" s="3848"/>
      <c r="Z37" s="3848"/>
      <c r="AA37" s="3849"/>
      <c r="AB37" s="3807" t="s">
        <v>445</v>
      </c>
      <c r="AC37" s="3847" t="s">
        <v>444</v>
      </c>
      <c r="AD37" s="3848"/>
      <c r="AE37" s="3848"/>
      <c r="AF37" s="3848"/>
      <c r="AG37" s="3848"/>
      <c r="AH37" s="3849"/>
      <c r="AI37" s="3807" t="s">
        <v>446</v>
      </c>
      <c r="AJ37" s="868" t="s">
        <v>447</v>
      </c>
      <c r="AK37" s="3480"/>
      <c r="AQ37" s="3432">
        <v>14</v>
      </c>
    </row>
    <row customHeight="1" ht="35.699999999999996">
      <c r="Q38" s="3719"/>
      <c r="R38" s="3719"/>
      <c r="S38" s="3818"/>
      <c r="T38" s="3579"/>
      <c r="U38" s="3798"/>
      <c r="V38" s="3558" t="s">
        <v>504</v>
      </c>
      <c r="W38" s="3437" t="s">
        <v>450</v>
      </c>
      <c r="X38" s="3436"/>
      <c r="Y38" s="3437" t="s">
        <v>451</v>
      </c>
      <c r="Z38" s="3477"/>
      <c r="AA38" s="3436"/>
      <c r="AB38" s="3851"/>
      <c r="AC38" s="3558" t="s">
        <v>504</v>
      </c>
      <c r="AD38" s="3437" t="s">
        <v>450</v>
      </c>
      <c r="AE38" s="3436"/>
      <c r="AF38" s="3437" t="s">
        <v>451</v>
      </c>
      <c r="AG38" s="3477"/>
      <c r="AH38" s="3436"/>
      <c r="AI38" s="3851"/>
      <c r="AJ38" s="871"/>
      <c r="AK38" s="3480"/>
      <c r="AQ38" s="3432">
        <v>34</v>
      </c>
    </row>
    <row customHeight="1" ht="35.699999999999996">
      <c r="B39" s="3511" t="s">
        <v>153</v>
      </c>
      <c r="C39" s="3511" t="s">
        <v>154</v>
      </c>
      <c r="D39" s="3511" t="s">
        <v>155</v>
      </c>
      <c r="E39" s="3830" t="s">
        <v>452</v>
      </c>
      <c r="F39" s="3830" t="s">
        <v>453</v>
      </c>
      <c r="G39" s="3830" t="s">
        <v>454</v>
      </c>
      <c r="I39" s="3830" t="s">
        <v>505</v>
      </c>
      <c r="J39" s="3830" t="s">
        <v>457</v>
      </c>
      <c r="K39" s="3830" t="s">
        <v>506</v>
      </c>
      <c r="L39" s="3830" t="s">
        <v>433</v>
      </c>
      <c r="Q39" s="3719"/>
      <c r="R39" s="3719"/>
      <c r="S39" s="3818"/>
      <c r="T39" s="3579"/>
      <c r="U39" s="3852"/>
      <c r="V39" s="3558" t="s">
        <v>507</v>
      </c>
      <c r="W39" s="3525" t="s">
        <v>508</v>
      </c>
      <c r="X39" s="3525" t="s">
        <v>509</v>
      </c>
      <c r="Y39" s="3525" t="s">
        <v>461</v>
      </c>
      <c r="Z39" s="3626" t="s">
        <v>462</v>
      </c>
      <c r="AA39" s="3628"/>
      <c r="AB39" s="3810"/>
      <c r="AC39" s="3558" t="s">
        <v>507</v>
      </c>
      <c r="AD39" s="3525" t="s">
        <v>508</v>
      </c>
      <c r="AE39" s="3525" t="s">
        <v>509</v>
      </c>
      <c r="AF39" s="3525" t="s">
        <v>461</v>
      </c>
      <c r="AG39" s="3626" t="s">
        <v>462</v>
      </c>
      <c r="AH39" s="3628"/>
      <c r="AI39" s="3810"/>
      <c r="AJ39" s="873"/>
      <c r="AK39" s="3480"/>
      <c r="AQ39" s="3432">
        <v>34</v>
      </c>
    </row>
    <row customHeight="1" ht="11.25" hidden="1">
      <c r="Q40" s="3853"/>
      <c r="R40" s="3854">
        <v>1</v>
      </c>
      <c r="S40" s="876" t="s">
        <v>107</v>
      </c>
      <c r="T40" s="877" t="s">
        <v>108</v>
      </c>
      <c r="U40" s="3855" t="str">
        <f>OFFSET(U40,0,-1)</f>
        <v>2</v>
      </c>
      <c r="V40" s="3856">
        <f>OFFSET(V40,0,-1)+1</f>
        <v>3</v>
      </c>
      <c r="W40" s="3856">
        <f>OFFSET(W40,0,-1)+1</f>
        <v>4</v>
      </c>
      <c r="X40" s="3856">
        <f>OFFSET(X40,0,-1)+1</f>
        <v>5</v>
      </c>
      <c r="Y40" s="3856">
        <f>OFFSET(Y40,0,-1)+1</f>
        <v>6</v>
      </c>
      <c r="Z40" s="3856">
        <f>OFFSET(Z40,0,-1)+1</f>
        <v>7</v>
      </c>
      <c r="AA40" s="3856"/>
      <c r="AB40" s="3856">
        <f>OFFSET(AB40,0,-2)+1</f>
        <v>8</v>
      </c>
      <c r="AC40" s="3856">
        <f>OFFSET(AC40,0,-1)+1</f>
        <v>9</v>
      </c>
      <c r="AD40" s="3856">
        <f>OFFSET(AD40,0,-1)+1</f>
        <v>10</v>
      </c>
      <c r="AE40" s="3856">
        <f>OFFSET(AE40,0,-1)+1</f>
        <v>11</v>
      </c>
      <c r="AF40" s="3856">
        <f>OFFSET(AF40,0,-1)+1</f>
        <v>12</v>
      </c>
      <c r="AG40" s="3856">
        <f>OFFSET(AG40,0,-1)+1</f>
        <v>13</v>
      </c>
      <c r="AH40" s="3856"/>
      <c r="AI40" s="3856">
        <f>OFFSET(AI40,0,-2)+1</f>
        <v>14</v>
      </c>
      <c r="AJ40" s="3855">
        <f>OFFSET(AJ40,0,-1)</f>
        <v>14</v>
      </c>
      <c r="AK40" s="3856">
        <f>OFFSET(AK40,0,-1)+1</f>
        <v>15</v>
      </c>
      <c r="AQ40" s="3637">
        <v>0</v>
      </c>
    </row>
    <row customHeight="1" ht="24">
      <c r="A41" s="3857" t="s">
        <v>241</v>
      </c>
      <c r="E41" s="3817">
        <v>1</v>
      </c>
      <c r="R41" s="816"/>
      <c r="S41" s="3818">
        <f>INDEX(PT_DIFFERENTIATION_NUM_NTAR,MATCH(A41,PT_DIFFERENTIATION_NTAR_ID,0))</f>
        <v>0</v>
      </c>
      <c r="T41" s="3764" t="s">
        <v>141</v>
      </c>
      <c r="U41" s="3819"/>
      <c r="V41" s="3820"/>
      <c r="W41" s="3821"/>
      <c r="X41" s="3821"/>
      <c r="Y41" s="3821"/>
      <c r="Z41" s="3821"/>
      <c r="AA41" s="3821"/>
      <c r="AB41" s="3822"/>
      <c r="AC41" s="3820" t="str">
        <f>INDEX(PT_DIFFERENTIATION_NTAR,MATCH(A41,PT_DIFFERENTIATION_NTAR_ID,0))</f>
        <v/>
      </c>
      <c r="AD41" s="3821"/>
      <c r="AE41" s="3821"/>
      <c r="AF41" s="3821"/>
      <c r="AG41" s="3821"/>
      <c r="AH41" s="3821"/>
      <c r="AI41" s="3821"/>
      <c r="AJ41" s="3822"/>
      <c r="AK41"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3479" t="str">
        <f>IF(T41="","",T41)</f>
        <v>Наименование тарифа</v>
      </c>
      <c r="AQ41" s="3432">
        <v>23</v>
      </c>
    </row>
    <row customHeight="1" ht="24">
      <c r="A42" s="3857" t="s">
        <v>241</v>
      </c>
      <c r="B42" s="3857" t="s">
        <v>242</v>
      </c>
      <c r="E42" s="3824"/>
      <c r="F42" s="3817">
        <v>1</v>
      </c>
      <c r="Q42" s="3825"/>
      <c r="R42" s="3826"/>
      <c r="S42" s="3818" t="str">
        <f>INDEX(PT_DIFFERENTIATION_NUM_TER,MATCH(B42,PT_DIFFERENTIATION_TER_ID,0))</f>
        <v>.</v>
      </c>
      <c r="T42" s="3827" t="s">
        <v>412</v>
      </c>
      <c r="U42" s="3819"/>
      <c r="V42" s="3820"/>
      <c r="W42" s="3821"/>
      <c r="X42" s="3821"/>
      <c r="Y42" s="3821"/>
      <c r="Z42" s="3821"/>
      <c r="AA42" s="3821"/>
      <c r="AB42" s="3822"/>
      <c r="AC42" s="3820" t="str">
        <f>INDEX(PT_DIFFERENTIATION_TER,MATCH(B42,PT_DIFFERENTIATION_TER_ID,0))</f>
        <v/>
      </c>
      <c r="AD42" s="3821"/>
      <c r="AE42" s="3821"/>
      <c r="AF42" s="3821"/>
      <c r="AG42" s="3821"/>
      <c r="AH42" s="3821"/>
      <c r="AI42" s="3821"/>
      <c r="AJ42" s="3822"/>
      <c r="AK42" s="3823" t="s">
        <v>413</v>
      </c>
      <c r="AN42" s="3479" t="str">
        <f>IF(T42="","",T42)</f>
        <v>Территория действия тарифа</v>
      </c>
      <c r="AQ42" s="3432">
        <v>23</v>
      </c>
    </row>
    <row customHeight="1" ht="24">
      <c r="A43" s="3857" t="s">
        <v>241</v>
      </c>
      <c r="B43" s="3857" t="s">
        <v>242</v>
      </c>
      <c r="C43" s="3857" t="s">
        <v>243</v>
      </c>
      <c r="E43" s="3824"/>
      <c r="F43" s="3824"/>
      <c r="G43" s="3817">
        <v>1</v>
      </c>
      <c r="Q43" s="3825"/>
      <c r="R43" s="3826"/>
      <c r="S43" s="3818" t="str">
        <f>INDEX(PT_DIFFERENTIATION_NUM_CS,MATCH(C43,PT_DIFFERENTIATION_CS_ID,0))</f>
        <v>..</v>
      </c>
      <c r="T43" s="3828" t="s">
        <v>496</v>
      </c>
      <c r="U43" s="3819"/>
      <c r="V43" s="3820"/>
      <c r="W43" s="3821"/>
      <c r="X43" s="3821"/>
      <c r="Y43" s="3821"/>
      <c r="Z43" s="3821"/>
      <c r="AA43" s="3821"/>
      <c r="AB43" s="3822"/>
      <c r="AC43" s="3820" t="str">
        <f>INDEX(PT_DIFFERENTIATION_CS,MATCH(C43,PT_DIFFERENTIATION_CS_ID,0))</f>
        <v/>
      </c>
      <c r="AD43" s="3821"/>
      <c r="AE43" s="3821"/>
      <c r="AF43" s="3821"/>
      <c r="AG43" s="3821"/>
      <c r="AH43" s="3821"/>
      <c r="AI43" s="3821"/>
      <c r="AJ43" s="3822"/>
      <c r="AK43" s="3823" t="s">
        <v>497</v>
      </c>
      <c r="AN43" s="3479" t="str">
        <f>IF(T43="","",T43)</f>
        <v>Наименование централизованной системы холодного водоснабжения</v>
      </c>
      <c r="AQ43" s="3432">
        <v>23</v>
      </c>
    </row>
    <row customHeight="1" ht="24">
      <c r="A44" s="3857" t="s">
        <v>241</v>
      </c>
      <c r="B44" s="3857" t="s">
        <v>242</v>
      </c>
      <c r="C44" s="3857" t="s">
        <v>243</v>
      </c>
      <c r="D44" s="3857" t="s">
        <v>510</v>
      </c>
      <c r="E44" s="3824"/>
      <c r="F44" s="3824"/>
      <c r="G44" s="3824"/>
      <c r="H44" s="3824"/>
      <c r="I44" s="3711" t="str">
        <f>S43&amp;".1"</f>
        <v>...1</v>
      </c>
      <c r="P44" s="3471">
        <v>1</v>
      </c>
      <c r="R44" s="3831"/>
      <c r="S44" s="3818" t="str">
        <f>$I44</f>
        <v>...1</v>
      </c>
      <c r="T44" s="3832" t="s">
        <v>498</v>
      </c>
      <c r="U44" s="3819"/>
      <c r="V44" s="3938"/>
      <c r="W44" s="3939"/>
      <c r="X44" s="3939"/>
      <c r="Y44" s="3939"/>
      <c r="Z44" s="3939"/>
      <c r="AA44" s="3939"/>
      <c r="AB44" s="3940"/>
      <c r="AC44" s="1018"/>
      <c r="AD44" s="1031"/>
      <c r="AE44" s="1031"/>
      <c r="AF44" s="1031"/>
      <c r="AG44" s="1031"/>
      <c r="AH44" s="1031"/>
      <c r="AI44" s="1031"/>
      <c r="AJ44" s="1032"/>
      <c r="AK44" s="3823" t="s">
        <v>499</v>
      </c>
      <c r="AN44" s="3479" t="str">
        <f>IF(T44="","",T44)</f>
        <v>Наименование признака дифференциации</v>
      </c>
      <c r="AQ44" s="3432">
        <v>23</v>
      </c>
    </row>
    <row customHeight="1" ht="24">
      <c r="A45" s="3857" t="s">
        <v>241</v>
      </c>
      <c r="B45" s="3857" t="s">
        <v>242</v>
      </c>
      <c r="C45" s="3857" t="s">
        <v>243</v>
      </c>
      <c r="D45" s="3857" t="s">
        <v>510</v>
      </c>
      <c r="E45" s="3824"/>
      <c r="F45" s="3824"/>
      <c r="G45" s="3824"/>
      <c r="H45" s="3824"/>
      <c r="I45" s="3835"/>
      <c r="J45" s="3711" t="str">
        <f>I44&amp;".1"</f>
        <v>...1.1</v>
      </c>
      <c r="L45" s="3830" t="s">
        <v>421</v>
      </c>
      <c r="Q45" s="3471">
        <v>1</v>
      </c>
      <c r="R45" s="3836"/>
      <c r="S45" s="3818" t="str">
        <f>$J45</f>
        <v>...1.1</v>
      </c>
      <c r="T45" s="3837" t="s">
        <v>422</v>
      </c>
      <c r="U45" s="3819"/>
      <c r="V45" s="3638"/>
      <c r="W45" s="3833"/>
      <c r="X45" s="3833"/>
      <c r="Y45" s="3833"/>
      <c r="Z45" s="3833"/>
      <c r="AA45" s="3833"/>
      <c r="AB45" s="3834"/>
      <c r="AC45" s="3638"/>
      <c r="AD45" s="3833"/>
      <c r="AE45" s="3833"/>
      <c r="AF45" s="3833"/>
      <c r="AG45" s="3833"/>
      <c r="AH45" s="3833"/>
      <c r="AI45" s="3833"/>
      <c r="AJ45" s="3834"/>
      <c r="AK45" s="3883" t="s">
        <v>500</v>
      </c>
      <c r="AN45" s="3479" t="str">
        <f>IF(T45="","",T45)</f>
        <v>Группа потребителей</v>
      </c>
      <c r="AQ45" s="3432">
        <v>23</v>
      </c>
    </row>
    <row customHeight="1" ht="24">
      <c r="A46" s="3857" t="s">
        <v>241</v>
      </c>
      <c r="B46" s="3857" t="s">
        <v>242</v>
      </c>
      <c r="C46" s="3857" t="s">
        <v>243</v>
      </c>
      <c r="D46" s="3857" t="s">
        <v>510</v>
      </c>
      <c r="E46" s="3824"/>
      <c r="F46" s="3824"/>
      <c r="G46" s="3824"/>
      <c r="H46" s="3824"/>
      <c r="I46" s="3835"/>
      <c r="J46" s="3835"/>
      <c r="K46" s="3711" t="str">
        <f>J45&amp;".1"</f>
        <v>...1.1.1</v>
      </c>
      <c r="R46" s="3836">
        <v>1</v>
      </c>
      <c r="S46" s="3818" t="str">
        <f>$K46</f>
        <v>...1.1.1</v>
      </c>
      <c r="T46" s="1033"/>
      <c r="U46" s="3819"/>
      <c r="V46" s="719"/>
      <c r="W46" s="719"/>
      <c r="X46" s="857"/>
      <c r="Y46" s="858"/>
      <c r="Z46" s="616" t="s">
        <v>61</v>
      </c>
      <c r="AA46" s="858"/>
      <c r="AB46" s="616" t="s">
        <v>61</v>
      </c>
      <c r="AC46" s="838"/>
      <c r="AD46" s="838"/>
      <c r="AE46" s="840"/>
      <c r="AF46" s="572"/>
      <c r="AG46" s="210" t="s">
        <v>61</v>
      </c>
      <c r="AH46" s="881"/>
      <c r="AI46" s="210" t="s">
        <v>19</v>
      </c>
      <c r="AJ46" s="1034"/>
      <c r="AK46"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473">
        <f>STRCHECKDATE(V47:AJ47)</f>
      </c>
      <c r="AN46" s="3479" t="str">
        <f>IF(T46="","",T46)</f>
        <v/>
      </c>
      <c r="AQ46" s="3432">
        <v>23</v>
      </c>
    </row>
    <row customHeight="1" ht="0">
      <c r="A47" s="3857" t="s">
        <v>241</v>
      </c>
      <c r="B47" s="3857" t="s">
        <v>242</v>
      </c>
      <c r="C47" s="3857" t="s">
        <v>243</v>
      </c>
      <c r="D47" s="3857" t="s">
        <v>510</v>
      </c>
      <c r="E47" s="3824"/>
      <c r="F47" s="3824"/>
      <c r="G47" s="3824"/>
      <c r="H47" s="3824"/>
      <c r="I47" s="3835"/>
      <c r="J47" s="3835"/>
      <c r="K47" s="3711"/>
      <c r="R47" s="3836"/>
      <c r="S47" s="421"/>
      <c r="T47" s="3819"/>
      <c r="U47" s="3819"/>
      <c r="V47" s="719"/>
      <c r="W47" s="719"/>
      <c r="X47" s="842" t="str">
        <f>Y46&amp;"-"&amp;AA46</f>
        <v>-</v>
      </c>
      <c r="Y47" s="616"/>
      <c r="Z47" s="616"/>
      <c r="AA47" s="616"/>
      <c r="AB47" s="616"/>
      <c r="AC47" s="839"/>
      <c r="AD47" s="839"/>
      <c r="AE47" s="842" t="str">
        <f>AF46&amp;"-"&amp;AH46</f>
        <v>-</v>
      </c>
      <c r="AF47" s="573"/>
      <c r="AG47" s="210"/>
      <c r="AH47" s="883"/>
      <c r="AI47" s="210"/>
      <c r="AJ47" s="1015"/>
      <c r="AK47" s="3941"/>
      <c r="AN47" s="3479" t="str">
        <f>IF(T47="","",T47)</f>
        <v/>
      </c>
      <c r="AQ47" s="3432">
        <v>0</v>
      </c>
    </row>
    <row customHeight="1" ht="21">
      <c r="A48" s="3857" t="s">
        <v>241</v>
      </c>
      <c r="B48" s="3857" t="s">
        <v>242</v>
      </c>
      <c r="C48" s="3857" t="s">
        <v>243</v>
      </c>
      <c r="D48" s="3857" t="s">
        <v>510</v>
      </c>
      <c r="E48" s="3824"/>
      <c r="F48" s="3824"/>
      <c r="G48" s="3824"/>
      <c r="H48" s="3824"/>
      <c r="I48" s="3835"/>
      <c r="J48" s="3711"/>
      <c r="R48" s="3831"/>
      <c r="S48" s="844"/>
      <c r="T48" s="848" t="s">
        <v>501</v>
      </c>
      <c r="U48" s="200"/>
      <c r="V48" s="200"/>
      <c r="W48" s="200"/>
      <c r="X48" s="200"/>
      <c r="Y48" s="200"/>
      <c r="Z48" s="200"/>
      <c r="AA48" s="200"/>
      <c r="AB48" s="200"/>
      <c r="AC48" s="200"/>
      <c r="AD48" s="200"/>
      <c r="AE48" s="200"/>
      <c r="AF48" s="200"/>
      <c r="AG48" s="200"/>
      <c r="AH48" s="200"/>
      <c r="AI48" s="200"/>
      <c r="AJ48" s="200"/>
      <c r="AK48" s="3823" t="s">
        <v>502</v>
      </c>
      <c r="AN48" s="3479" t="str">
        <f>IF(T48="","",T48)</f>
        <v>Добавить значение признака дифференциации</v>
      </c>
      <c r="AQ48" s="3432">
        <v>20</v>
      </c>
    </row>
    <row customHeight="1" ht="22.049999999999997">
      <c r="A49" s="3857" t="s">
        <v>241</v>
      </c>
      <c r="B49" s="3857" t="s">
        <v>242</v>
      </c>
      <c r="C49" s="3857" t="s">
        <v>243</v>
      </c>
      <c r="D49" s="3857" t="s">
        <v>510</v>
      </c>
      <c r="E49" s="3824"/>
      <c r="F49" s="3824"/>
      <c r="G49" s="3824"/>
      <c r="H49" s="3824"/>
      <c r="I49" s="3711"/>
      <c r="R49" s="3831"/>
      <c r="S49" s="844"/>
      <c r="T49" s="851" t="s">
        <v>427</v>
      </c>
      <c r="U49" s="200"/>
      <c r="V49" s="200"/>
      <c r="W49" s="200"/>
      <c r="X49" s="200"/>
      <c r="Y49" s="200"/>
      <c r="Z49" s="200"/>
      <c r="AA49" s="200"/>
      <c r="AB49" s="849"/>
      <c r="AC49" s="200"/>
      <c r="AD49" s="200"/>
      <c r="AE49" s="200"/>
      <c r="AF49" s="200"/>
      <c r="AG49" s="200"/>
      <c r="AH49" s="200"/>
      <c r="AI49" s="849"/>
      <c r="AJ49" s="200"/>
      <c r="AK49" s="1036"/>
      <c r="AN49" s="3479" t="str">
        <f>IF(T49="","",T49)</f>
        <v>Добавить группу потребителей</v>
      </c>
      <c r="AQ49" s="3432">
        <v>21</v>
      </c>
    </row>
    <row customHeight="1" ht="22.049999999999997">
      <c r="A50" s="3857" t="s">
        <v>241</v>
      </c>
      <c r="B50" s="3857" t="s">
        <v>242</v>
      </c>
      <c r="C50" s="3857" t="s">
        <v>243</v>
      </c>
      <c r="D50" s="3857" t="s">
        <v>510</v>
      </c>
      <c r="E50" s="3824"/>
      <c r="F50" s="3824"/>
      <c r="G50" s="3824"/>
      <c r="H50" s="3817"/>
      <c r="R50" s="816"/>
      <c r="S50" s="844"/>
      <c r="T50" s="994" t="s">
        <v>503</v>
      </c>
      <c r="U50" s="200"/>
      <c r="V50" s="200"/>
      <c r="W50" s="200"/>
      <c r="X50" s="200"/>
      <c r="Y50" s="200"/>
      <c r="Z50" s="200"/>
      <c r="AA50" s="200"/>
      <c r="AB50" s="849"/>
      <c r="AC50" s="200"/>
      <c r="AD50" s="200"/>
      <c r="AE50" s="200"/>
      <c r="AF50" s="200"/>
      <c r="AG50" s="200"/>
      <c r="AH50" s="200"/>
      <c r="AI50" s="849"/>
      <c r="AJ50" s="200"/>
      <c r="AK50" s="850"/>
      <c r="AN50" s="3479" t="str">
        <f>IF(T50="","",T50)</f>
        <v>Добавить наименование признака дифференциации</v>
      </c>
      <c r="AQ50" s="3432">
        <v>21</v>
      </c>
    </row>
    <row customHeight="1" ht="0">
      <c r="A51" s="3470" t="s">
        <v>241</v>
      </c>
      <c r="B51" s="3470" t="s">
        <v>242</v>
      </c>
      <c r="E51" s="3824"/>
      <c r="F51" s="3817"/>
      <c r="T51" s="856" t="s">
        <v>430</v>
      </c>
      <c r="AN51" s="3479" t="str">
        <f>IF(T51="","",T51)</f>
        <v>Добавить централизованную систему для дифференциации</v>
      </c>
      <c r="AQ51" s="3473">
        <v>0</v>
      </c>
    </row>
    <row customHeight="1" ht="0">
      <c r="A52" s="3470" t="s">
        <v>241</v>
      </c>
      <c r="E52" s="3817"/>
      <c r="T52" s="856" t="s">
        <v>431</v>
      </c>
      <c r="AN52" s="3479" t="str">
        <f>IF(T52="","",T52)</f>
        <v>Добавить территорию для дифференциации</v>
      </c>
      <c r="AQ52" s="3473">
        <v>0</v>
      </c>
    </row>
    <row customHeight="1" ht="0">
      <c r="T53" s="856" t="s">
        <v>463</v>
      </c>
      <c r="AN53" s="3479" t="str">
        <f>IF(T53="","",T53)</f>
        <v>Добавить наименование тарифа</v>
      </c>
      <c r="AQ53" s="3473">
        <v>0</v>
      </c>
    </row>
    <row customHeight="1" ht="11.549999999999999">
      <c r="AQ54" s="3432">
        <v>11</v>
      </c>
    </row>
    <row customHeight="1" ht="14.699999999999998">
      <c r="AQ55" s="3432">
        <v>14</v>
      </c>
    </row>
    <row customHeight="1" ht="14.699999999999998">
      <c r="AQ56" s="3432">
        <v>14</v>
      </c>
    </row>
    <row customHeight="1" ht="14.699999999999998">
      <c r="AQ57" s="3432">
        <v>14</v>
      </c>
    </row>
    <row customHeight="1" ht="22.5" hidden="1">
      <c r="A58" s="3449" t="s">
        <v>80</v>
      </c>
      <c r="B58" s="3449">
        <v>0</v>
      </c>
      <c r="C58" s="3449">
        <v>0</v>
      </c>
      <c r="D58" s="3449">
        <v>0</v>
      </c>
      <c r="E58" s="3449">
        <v>0</v>
      </c>
      <c r="F58" s="3449">
        <v>0</v>
      </c>
      <c r="G58" s="3449">
        <v>0</v>
      </c>
      <c r="H58" s="3449">
        <v>0</v>
      </c>
      <c r="I58" s="3449">
        <v>0</v>
      </c>
      <c r="J58" s="3449">
        <v>0</v>
      </c>
      <c r="K58" s="3449">
        <v>0</v>
      </c>
      <c r="L58" s="3618">
        <v>0</v>
      </c>
      <c r="M58" s="105">
        <v>0</v>
      </c>
      <c r="N58" s="105">
        <v>0</v>
      </c>
      <c r="O58" s="105">
        <v>0</v>
      </c>
      <c r="P58" s="782">
        <v>3</v>
      </c>
      <c r="Q58" s="3797">
        <v>3</v>
      </c>
      <c r="R58" s="3797">
        <v>3</v>
      </c>
      <c r="S58" s="3447">
        <v>12</v>
      </c>
      <c r="T58" s="3432">
        <v>35</v>
      </c>
      <c r="U58" s="3432">
        <v>0</v>
      </c>
      <c r="V58" s="3432">
        <v>0</v>
      </c>
      <c r="W58" s="3432">
        <v>0</v>
      </c>
      <c r="X58" s="3432">
        <v>0</v>
      </c>
      <c r="Y58" s="3432">
        <v>0</v>
      </c>
      <c r="Z58" s="3432">
        <v>0</v>
      </c>
      <c r="AA58" s="3432">
        <v>0</v>
      </c>
      <c r="AB58" s="3432">
        <v>0</v>
      </c>
      <c r="AC58" s="3432">
        <v>24</v>
      </c>
      <c r="AD58" s="3432">
        <v>24</v>
      </c>
      <c r="AE58" s="3432">
        <v>24</v>
      </c>
      <c r="AF58" s="3432">
        <v>11</v>
      </c>
      <c r="AG58" s="3432">
        <v>3</v>
      </c>
      <c r="AH58" s="3432">
        <v>11</v>
      </c>
      <c r="AI58" s="3432">
        <v>0</v>
      </c>
      <c r="AJ58" s="3432">
        <v>4</v>
      </c>
      <c r="AK58" s="3432">
        <v>115</v>
      </c>
      <c r="AL58" s="3473">
        <v>10</v>
      </c>
      <c r="AM58" s="3473">
        <v>10</v>
      </c>
      <c r="AN58" s="3473">
        <v>10</v>
      </c>
      <c r="AO58" s="3473">
        <v>10</v>
      </c>
      <c r="AP58" s="3473">
        <v>10</v>
      </c>
      <c r="AQ58" s="343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4B6A2-3276-6FE3-1F4C-59383FEE4A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4.140625" hidden="1" customWidth="1"/>
    <col min="10" max="10" style="7348" width="9.8515625" hidden="1" customWidth="1"/>
    <col min="11" max="11" style="7348" width="14.71093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4" style="7348" width="24.7109375" hidden="1" customWidth="1"/>
    <col min="25" max="25" style="7348" width="11.7109375" hidden="1" customWidth="1"/>
    <col min="26" max="26" style="7348" width="3.7109375" hidden="1" customWidth="1"/>
    <col min="27" max="27" style="7348" width="11.7109375" hidden="1" customWidth="1"/>
    <col min="28" max="28" style="7348" width="8.57421875" hidden="1" customWidth="1"/>
    <col min="29" max="29" style="7348" width="24.7109375" customWidth="1"/>
    <col min="30" max="31" style="7348" width="24.00390625" customWidth="1"/>
    <col min="32" max="32" style="7348" width="11.00390625" customWidth="1"/>
    <col min="33" max="33" style="7348" width="3.7109375" customWidth="1"/>
    <col min="34" max="34" style="7348" width="11.00390625" customWidth="1"/>
    <col min="35" max="35" style="7348" width="8.57421875" hidden="1" customWidth="1"/>
    <col min="36" max="36" style="7348" width="4.00390625" customWidth="1"/>
    <col min="37" max="37" style="7348" width="115.00390625" customWidth="1"/>
    <col min="38" max="42" style="7348" width="10.00390625" customWidth="1"/>
    <col min="43" max="43" style="7348" width="10.57421875" hidden="1"/>
  </cols>
  <sheetData>
    <row customHeight="1" ht="22.5" hidden="1">
      <c r="AQ1" s="3432" t="s">
        <v>14</v>
      </c>
    </row>
    <row customHeight="1" ht="23.25" hidden="1">
      <c r="E2" s="3817">
        <v>1</v>
      </c>
      <c r="R2" s="816"/>
      <c r="S2" s="3818">
        <f>INDEX(PT_DIFFERENTIATION_NUM_NTAR,MATCH(A2,PT_DIFFERENTIATION_NTAR_ID,0))</f>
      </c>
      <c r="T2" s="3764" t="s">
        <v>141</v>
      </c>
      <c r="U2" s="3819"/>
      <c r="V2" s="3820"/>
      <c r="W2" s="3821"/>
      <c r="X2" s="3821"/>
      <c r="Y2" s="3821"/>
      <c r="Z2" s="3821"/>
      <c r="AA2" s="3821"/>
      <c r="AB2" s="3822"/>
      <c r="AC2" s="3820">
        <f>INDEX(PT_DIFFERENTIATION_NTAR,MATCH(A2,PT_DIFFERENTIATION_NTAR_ID,0))</f>
      </c>
      <c r="AD2" s="3821"/>
      <c r="AE2" s="3821"/>
      <c r="AF2" s="3821"/>
      <c r="AG2" s="3821"/>
      <c r="AH2" s="3821"/>
      <c r="AI2" s="3821"/>
      <c r="AJ2" s="3822"/>
      <c r="AK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3479" t="str">
        <f>IF(T2="","",T2)</f>
        <v>Наименование тарифа</v>
      </c>
      <c r="AQ2" s="3432">
        <v>0</v>
      </c>
    </row>
    <row customHeight="1" ht="23.25" hidden="1">
      <c r="E3" s="3824"/>
      <c r="F3" s="3817">
        <v>1</v>
      </c>
      <c r="Q3" s="3825"/>
      <c r="R3" s="3826"/>
      <c r="S3" s="3818">
        <f>INDEX(PT_DIFFERENTIATION_NUM_TER,MATCH(B3,PT_DIFFERENTIATION_TER_ID,0))</f>
      </c>
      <c r="T3" s="3827" t="s">
        <v>412</v>
      </c>
      <c r="U3" s="3819"/>
      <c r="V3" s="3820"/>
      <c r="W3" s="3821"/>
      <c r="X3" s="3821"/>
      <c r="Y3" s="3821"/>
      <c r="Z3" s="3821"/>
      <c r="AA3" s="3821"/>
      <c r="AB3" s="3822"/>
      <c r="AC3" s="3820">
        <f>INDEX(PT_DIFFERENTIATION_TER,MATCH(B3,PT_DIFFERENTIATION_TER_ID,0))</f>
      </c>
      <c r="AD3" s="3821"/>
      <c r="AE3" s="3821"/>
      <c r="AF3" s="3821"/>
      <c r="AG3" s="3821"/>
      <c r="AH3" s="3821"/>
      <c r="AI3" s="3821"/>
      <c r="AJ3" s="3822"/>
      <c r="AK3" s="3823" t="s">
        <v>413</v>
      </c>
      <c r="AN3" s="3479" t="str">
        <f>IF(T3="","",T3)</f>
        <v>Территория действия тарифа</v>
      </c>
      <c r="AQ3" s="3432">
        <v>0</v>
      </c>
    </row>
    <row customHeight="1" ht="23.25" hidden="1">
      <c r="E4" s="3824"/>
      <c r="F4" s="3824"/>
      <c r="G4" s="3817">
        <v>1</v>
      </c>
      <c r="Q4" s="3825"/>
      <c r="R4" s="3826"/>
      <c r="S4" s="3818">
        <f>INDEX(PT_DIFFERENTIATION_NUM_CS,MATCH(C4,PT_DIFFERENTIATION_CS_ID,0))</f>
      </c>
      <c r="T4" s="3828" t="s">
        <v>496</v>
      </c>
      <c r="U4" s="3819"/>
      <c r="V4" s="3820"/>
      <c r="W4" s="3821"/>
      <c r="X4" s="3821"/>
      <c r="Y4" s="3821"/>
      <c r="Z4" s="3821"/>
      <c r="AA4" s="3821"/>
      <c r="AB4" s="3822"/>
      <c r="AC4" s="3820">
        <f>INDEX(PT_DIFFERENTIATION_CS,MATCH(C4,PT_DIFFERENTIATION_CS_ID,0))</f>
      </c>
      <c r="AD4" s="3821"/>
      <c r="AE4" s="3821"/>
      <c r="AF4" s="3821"/>
      <c r="AG4" s="3821"/>
      <c r="AH4" s="3821"/>
      <c r="AI4" s="3821"/>
      <c r="AJ4" s="3822"/>
      <c r="AK4" s="3823" t="s">
        <v>497</v>
      </c>
      <c r="AN4" s="3479" t="str">
        <f>IF(T4="","",T4)</f>
        <v>Наименование централизованной системы холодного водоснабжения</v>
      </c>
      <c r="AQ4" s="3432">
        <v>0</v>
      </c>
    </row>
    <row customHeight="1" ht="23.25" hidden="1">
      <c r="E5" s="3824"/>
      <c r="F5" s="3824"/>
      <c r="G5" s="3824"/>
      <c r="H5" s="3824"/>
      <c r="I5" s="3711">
        <f>S4&amp;".1"</f>
      </c>
      <c r="P5" s="3471">
        <v>1</v>
      </c>
      <c r="R5" s="3831"/>
      <c r="S5" s="3818">
        <f>$I5</f>
      </c>
      <c r="T5" s="3832" t="s">
        <v>498</v>
      </c>
      <c r="U5" s="3819"/>
      <c r="V5" s="3938"/>
      <c r="W5" s="3939"/>
      <c r="X5" s="3939"/>
      <c r="Y5" s="3939"/>
      <c r="Z5" s="3939"/>
      <c r="AA5" s="3939"/>
      <c r="AB5" s="3940"/>
      <c r="AC5" s="1018"/>
      <c r="AD5" s="1031"/>
      <c r="AE5" s="1031"/>
      <c r="AF5" s="1031"/>
      <c r="AG5" s="1031"/>
      <c r="AH5" s="1031"/>
      <c r="AI5" s="1031"/>
      <c r="AJ5" s="1032"/>
      <c r="AK5" s="3823" t="s">
        <v>499</v>
      </c>
      <c r="AN5" s="3479" t="str">
        <f>IF(T5="","",T5)</f>
        <v>Наименование признака дифференциации</v>
      </c>
      <c r="AQ5" s="3432">
        <v>0</v>
      </c>
    </row>
    <row customHeight="1" ht="23.25" hidden="1">
      <c r="E6" s="3824"/>
      <c r="F6" s="3824"/>
      <c r="G6" s="3824"/>
      <c r="H6" s="3824"/>
      <c r="I6" s="3835"/>
      <c r="J6" s="3711">
        <f>I5&amp;".1"</f>
      </c>
      <c r="L6" s="3830" t="s">
        <v>421</v>
      </c>
      <c r="Q6" s="3471">
        <v>1</v>
      </c>
      <c r="R6" s="3836"/>
      <c r="S6" s="3818">
        <f>$J6</f>
      </c>
      <c r="T6" s="3837" t="s">
        <v>422</v>
      </c>
      <c r="U6" s="3819"/>
      <c r="V6" s="3638"/>
      <c r="W6" s="3833"/>
      <c r="X6" s="3833"/>
      <c r="Y6" s="3833"/>
      <c r="Z6" s="3833"/>
      <c r="AA6" s="3833"/>
      <c r="AB6" s="3834"/>
      <c r="AC6" s="3638"/>
      <c r="AD6" s="3833"/>
      <c r="AE6" s="3833"/>
      <c r="AF6" s="3833"/>
      <c r="AG6" s="3833"/>
      <c r="AH6" s="3833"/>
      <c r="AI6" s="3833"/>
      <c r="AJ6" s="3834"/>
      <c r="AK6" s="3883" t="s">
        <v>500</v>
      </c>
      <c r="AN6" s="3479" t="str">
        <f>IF(T6="","",T6)</f>
        <v>Группа потребителей</v>
      </c>
      <c r="AQ6" s="3432">
        <v>0</v>
      </c>
    </row>
    <row customHeight="1" ht="23.25" hidden="1">
      <c r="E7" s="3824"/>
      <c r="F7" s="3824"/>
      <c r="G7" s="3824"/>
      <c r="H7" s="3824"/>
      <c r="I7" s="3835"/>
      <c r="J7" s="3835"/>
      <c r="K7" s="3711">
        <f>J6&amp;".1"</f>
      </c>
      <c r="R7" s="3836">
        <v>1</v>
      </c>
      <c r="S7" s="3818">
        <f>$K7</f>
      </c>
      <c r="T7" s="1033"/>
      <c r="U7" s="3819"/>
      <c r="V7" s="838"/>
      <c r="W7" s="838"/>
      <c r="X7" s="840"/>
      <c r="Y7" s="572"/>
      <c r="Z7" s="210" t="s">
        <v>61</v>
      </c>
      <c r="AA7" s="572"/>
      <c r="AB7" s="210" t="s">
        <v>61</v>
      </c>
      <c r="AC7" s="838"/>
      <c r="AD7" s="838"/>
      <c r="AE7" s="840"/>
      <c r="AF7" s="572"/>
      <c r="AG7" s="210" t="s">
        <v>61</v>
      </c>
      <c r="AH7" s="881"/>
      <c r="AI7" s="210" t="s">
        <v>61</v>
      </c>
      <c r="AJ7" s="1034"/>
      <c r="AK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473">
        <f>STRCHECKDATE(V8:AJ8)</f>
      </c>
      <c r="AN7" s="3479" t="str">
        <f>IF(T7="","",T7)</f>
        <v/>
      </c>
      <c r="AQ7" s="3432">
        <v>0</v>
      </c>
    </row>
    <row customHeight="1" ht="14.25" hidden="1">
      <c r="E8" s="3824"/>
      <c r="F8" s="3824"/>
      <c r="G8" s="3824"/>
      <c r="H8" s="3824"/>
      <c r="I8" s="3835"/>
      <c r="J8" s="3835"/>
      <c r="K8" s="3711"/>
      <c r="R8" s="3836"/>
      <c r="S8" s="421"/>
      <c r="T8" s="3819"/>
      <c r="U8" s="3819"/>
      <c r="V8" s="839"/>
      <c r="W8" s="839"/>
      <c r="X8" s="842" t="str">
        <f>Y7&amp;"-"&amp;AA7</f>
        <v>-</v>
      </c>
      <c r="Y8" s="573"/>
      <c r="Z8" s="210"/>
      <c r="AA8" s="573"/>
      <c r="AB8" s="210"/>
      <c r="AC8" s="839"/>
      <c r="AD8" s="839"/>
      <c r="AE8" s="842" t="str">
        <f>AF7&amp;"-"&amp;AH7</f>
        <v>-</v>
      </c>
      <c r="AF8" s="573"/>
      <c r="AG8" s="210"/>
      <c r="AH8" s="883"/>
      <c r="AI8" s="210"/>
      <c r="AJ8" s="1015"/>
      <c r="AK8" s="3941"/>
      <c r="AN8" s="3479" t="str">
        <f>IF(T8="","",T8)</f>
        <v/>
      </c>
      <c r="AQ8" s="3432">
        <v>0</v>
      </c>
    </row>
    <row customHeight="1" ht="21" hidden="1">
      <c r="E9" s="3824"/>
      <c r="F9" s="3824"/>
      <c r="G9" s="3824"/>
      <c r="H9" s="3824"/>
      <c r="I9" s="3835"/>
      <c r="J9" s="3711"/>
      <c r="R9" s="3831"/>
      <c r="S9" s="844"/>
      <c r="T9" s="848" t="s">
        <v>501</v>
      </c>
      <c r="U9" s="200"/>
      <c r="V9" s="200"/>
      <c r="W9" s="200"/>
      <c r="X9" s="200"/>
      <c r="Y9" s="200"/>
      <c r="Z9" s="200"/>
      <c r="AA9" s="200"/>
      <c r="AB9" s="200"/>
      <c r="AC9" s="200"/>
      <c r="AD9" s="200"/>
      <c r="AE9" s="200"/>
      <c r="AF9" s="200"/>
      <c r="AG9" s="200"/>
      <c r="AH9" s="200"/>
      <c r="AI9" s="200"/>
      <c r="AJ9" s="200"/>
      <c r="AK9" s="3823" t="s">
        <v>502</v>
      </c>
      <c r="AN9" s="3479" t="str">
        <f>IF(T9="","",T9)</f>
        <v>Добавить значение признака дифференциации</v>
      </c>
      <c r="AQ9" s="3432">
        <v>0</v>
      </c>
    </row>
    <row customHeight="1" ht="21" hidden="1">
      <c r="E10" s="3824"/>
      <c r="F10" s="3824"/>
      <c r="G10" s="3824"/>
      <c r="H10" s="3824"/>
      <c r="I10" s="3711"/>
      <c r="R10" s="3831"/>
      <c r="S10" s="844"/>
      <c r="T10" s="851" t="s">
        <v>427</v>
      </c>
      <c r="U10" s="200"/>
      <c r="V10" s="200"/>
      <c r="W10" s="200"/>
      <c r="X10" s="200"/>
      <c r="Y10" s="200"/>
      <c r="Z10" s="200"/>
      <c r="AA10" s="200"/>
      <c r="AB10" s="849"/>
      <c r="AC10" s="200"/>
      <c r="AD10" s="200"/>
      <c r="AE10" s="200"/>
      <c r="AF10" s="200"/>
      <c r="AG10" s="200"/>
      <c r="AH10" s="200"/>
      <c r="AI10" s="849"/>
      <c r="AJ10" s="200"/>
      <c r="AK10" s="1036"/>
      <c r="AN10" s="3479" t="str">
        <f>IF(T10="","",T10)</f>
        <v>Добавить группу потребителей</v>
      </c>
      <c r="AQ10" s="3432">
        <v>0</v>
      </c>
    </row>
    <row customHeight="1" ht="21" hidden="1">
      <c r="E11" s="3824"/>
      <c r="F11" s="3824"/>
      <c r="G11" s="3824"/>
      <c r="H11" s="3817"/>
      <c r="R11" s="816"/>
      <c r="S11" s="844"/>
      <c r="T11" s="994" t="s">
        <v>503</v>
      </c>
      <c r="U11" s="200"/>
      <c r="V11" s="200"/>
      <c r="W11" s="200"/>
      <c r="X11" s="200"/>
      <c r="Y11" s="200"/>
      <c r="Z11" s="200"/>
      <c r="AA11" s="200"/>
      <c r="AB11" s="849"/>
      <c r="AC11" s="200"/>
      <c r="AD11" s="200"/>
      <c r="AE11" s="200"/>
      <c r="AF11" s="200"/>
      <c r="AG11" s="200"/>
      <c r="AH11" s="200"/>
      <c r="AI11" s="849"/>
      <c r="AJ11" s="200"/>
      <c r="AK11" s="850"/>
      <c r="AN11" s="3479" t="str">
        <f>IF(T11="","",T11)</f>
        <v>Добавить наименование признака дифференциации</v>
      </c>
      <c r="AQ11" s="3432">
        <v>0</v>
      </c>
    </row>
    <row customHeight="1" ht="14.25" hidden="1">
      <c r="E12" s="3824"/>
      <c r="F12" s="3817"/>
      <c r="T12" s="856" t="s">
        <v>430</v>
      </c>
      <c r="AN12" s="3479" t="str">
        <f>IF(T12="","",T12)</f>
        <v>Добавить централизованную систему для дифференциации</v>
      </c>
      <c r="AQ12" s="3473">
        <v>0</v>
      </c>
    </row>
    <row customHeight="1" ht="14.25" hidden="1">
      <c r="E13" s="3817"/>
      <c r="T13" s="856" t="s">
        <v>431</v>
      </c>
      <c r="AN13" s="3479" t="str">
        <f>IF(T13="","",T13)</f>
        <v>Добавить территорию для дифференциации</v>
      </c>
      <c r="AQ13" s="3473">
        <v>0</v>
      </c>
    </row>
    <row customHeight="1" ht="14.25" hidden="1">
      <c r="AQ14" s="3432">
        <v>0</v>
      </c>
    </row>
    <row customHeight="1" ht="14.25" hidden="1">
      <c r="AC15" s="719"/>
      <c r="AD15" s="719"/>
      <c r="AE15" s="857"/>
      <c r="AF15" s="858"/>
      <c r="AG15" s="616" t="s">
        <v>61</v>
      </c>
      <c r="AH15" s="858"/>
      <c r="AI15" s="616" t="s">
        <v>61</v>
      </c>
      <c r="AQ15" s="3432">
        <v>0</v>
      </c>
    </row>
    <row customHeight="1" ht="14.25" hidden="1">
      <c r="AC16" s="719"/>
      <c r="AD16" s="719"/>
      <c r="AE16" s="842" t="str">
        <f>AF15&amp;"-"&amp;AH15</f>
        <v>-</v>
      </c>
      <c r="AF16" s="616"/>
      <c r="AG16" s="616"/>
      <c r="AH16" s="616"/>
      <c r="AI16" s="616"/>
      <c r="AQ16" s="3432">
        <v>0</v>
      </c>
    </row>
    <row customHeight="1" ht="14.25" hidden="1">
      <c r="AQ17" s="3432">
        <v>0</v>
      </c>
    </row>
    <row customHeight="1" ht="22.5" hidden="1">
      <c r="O18" s="859" t="s">
        <v>432</v>
      </c>
      <c r="Y18" s="859"/>
      <c r="AA18" s="859"/>
      <c r="AF18" s="859"/>
      <c r="AH18" s="859"/>
      <c r="AQ18" s="3449">
        <v>0</v>
      </c>
    </row>
    <row customHeight="1" ht="14.25" hidden="1">
      <c r="AQ19" s="3449">
        <v>0</v>
      </c>
    </row>
    <row customHeight="1" ht="12" hidden="1">
      <c r="O20" s="3830" t="s">
        <v>433</v>
      </c>
      <c r="T20" s="3449" t="s">
        <v>434</v>
      </c>
      <c r="Z20" s="3511" t="s">
        <v>435</v>
      </c>
      <c r="AB20" s="3511" t="s">
        <v>436</v>
      </c>
      <c r="AC20" s="3449" t="s">
        <v>434</v>
      </c>
      <c r="AG20" s="3511" t="s">
        <v>437</v>
      </c>
      <c r="AI20" s="3511" t="s">
        <v>436</v>
      </c>
      <c r="AQ20" s="3449">
        <v>0</v>
      </c>
    </row>
    <row customHeight="1" ht="14.25" hidden="1">
      <c r="AQ21" s="3432">
        <v>0</v>
      </c>
    </row>
    <row customHeight="1" ht="14.25" hidden="1">
      <c r="AQ22" s="3432">
        <v>0</v>
      </c>
    </row>
    <row customHeight="1" ht="14.699999999999998">
      <c r="Q23" s="3719"/>
      <c r="R23" s="3719"/>
      <c r="S23" s="3842"/>
      <c r="T23" s="3450"/>
      <c r="U23" s="3450"/>
      <c r="AQ23" s="3432">
        <v>14</v>
      </c>
    </row>
    <row customHeight="1" ht="14.699999999999998">
      <c r="Q24" s="3719"/>
      <c r="R24" s="3719"/>
      <c r="S24" s="3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46"/>
      <c r="U24" s="3646"/>
      <c r="V24" s="3646"/>
      <c r="W24" s="3646"/>
      <c r="X24" s="3646"/>
      <c r="Y24" s="3646"/>
      <c r="Z24" s="3646"/>
      <c r="AA24" s="3646"/>
      <c r="AB24" s="3646"/>
      <c r="AC24" s="3646"/>
      <c r="AD24" s="3646"/>
      <c r="AE24" s="3646"/>
      <c r="AF24" s="3646"/>
      <c r="AG24" s="3646"/>
      <c r="AH24" s="3646"/>
      <c r="AQ24" s="3432">
        <v>14</v>
      </c>
    </row>
    <row customHeight="1" ht="14.699999999999998">
      <c r="Q25" s="3719"/>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Q25" s="3432">
        <v>14</v>
      </c>
    </row>
    <row customHeight="1" ht="14.25" hidden="1">
      <c r="Q26" s="3719"/>
      <c r="R26" s="3719"/>
      <c r="S26" s="3842"/>
      <c r="T26" s="3450"/>
      <c r="U26" s="3450"/>
      <c r="V26" s="3804"/>
      <c r="W26" s="3804"/>
      <c r="X26" s="3804"/>
      <c r="Y26" s="3804"/>
      <c r="Z26" s="3804"/>
      <c r="AA26" s="3804"/>
      <c r="AB26" s="3804"/>
      <c r="AC26" s="3804"/>
      <c r="AD26" s="3804"/>
      <c r="AE26" s="3804"/>
      <c r="AF26" s="3804"/>
      <c r="AG26" s="3804"/>
      <c r="AH26" s="3804"/>
      <c r="AI26" s="3804"/>
      <c r="AQ26" s="3432">
        <v>0</v>
      </c>
    </row>
    <row customHeight="1" ht="25.5" hidden="1">
      <c r="S27" s="3843" t="s">
        <v>41</v>
      </c>
      <c r="T27" s="3843"/>
      <c r="U27" s="3844"/>
      <c r="V27" s="3806" t="str">
        <f>IF(TITLE_NAME_OR_PR_CHANGE="",IF(TITLE_NAME_OR_PR="","",TITLE_NAME_OR_PR),TITLE_NAME_OR_PR_CHANGE)</f>
        <v/>
      </c>
      <c r="W27" s="3806"/>
      <c r="X27" s="3806"/>
      <c r="Y27" s="3806"/>
      <c r="Z27" s="3806"/>
      <c r="AA27" s="3806"/>
      <c r="AC27" s="3806" t="str">
        <f>IF(TITLE_NAME_OR_PR_CHANGE="",IF(TITLE_NAME_OR_PR="","",TITLE_NAME_OR_PR),TITLE_NAME_OR_PR_CHANGE)</f>
        <v/>
      </c>
      <c r="AD27" s="3806"/>
      <c r="AE27" s="3806"/>
      <c r="AF27" s="3806"/>
      <c r="AG27" s="3806"/>
      <c r="AH27" s="3806"/>
      <c r="AQ27" s="3489">
        <v>0</v>
      </c>
    </row>
    <row customHeight="1" ht="18.75" hidden="1">
      <c r="S28" s="3843" t="s">
        <v>438</v>
      </c>
      <c r="T28" s="3843"/>
      <c r="U28" s="3844"/>
      <c r="V28" s="795" t="str">
        <f>IF(TITLE_DATE_PR_CHANGE="",IF(TITLE_DATE_PR="","",TITLE_DATE_PR),TITLE_DATE_PR_CHANGE)</f>
        <v/>
      </c>
      <c r="W28" s="795"/>
      <c r="X28" s="795"/>
      <c r="Y28" s="795"/>
      <c r="Z28" s="795"/>
      <c r="AA28" s="795"/>
      <c r="AC28" s="795" t="str">
        <f>IF(TITLE_DATE_PR_CHANGE="",IF(TITLE_DATE_PR="","",TITLE_DATE_PR),TITLE_DATE_PR_CHANGE)</f>
        <v/>
      </c>
      <c r="AD28" s="795"/>
      <c r="AE28" s="795"/>
      <c r="AF28" s="795"/>
      <c r="AG28" s="795"/>
      <c r="AH28" s="795"/>
      <c r="AQ28" s="3489">
        <v>0</v>
      </c>
    </row>
    <row customHeight="1" ht="18.75" hidden="1">
      <c r="S29" s="3843" t="s">
        <v>439</v>
      </c>
      <c r="T29" s="3843"/>
      <c r="U29" s="3844"/>
      <c r="V29" s="3806" t="str">
        <f>IF(TITLE_NUMBER_PR_CHANGE="",IF(TITLE_NUMBER_PR="","",TITLE_NUMBER_PR),TITLE_NUMBER_PR_CHANGE)</f>
        <v/>
      </c>
      <c r="W29" s="3806"/>
      <c r="X29" s="3806"/>
      <c r="Y29" s="3806"/>
      <c r="Z29" s="3806"/>
      <c r="AA29" s="3806"/>
      <c r="AC29" s="3806" t="str">
        <f>IF(TITLE_NUMBER_PR_CHANGE="",IF(TITLE_NUMBER_PR="","",TITLE_NUMBER_PR),TITLE_NUMBER_PR_CHANGE)</f>
        <v/>
      </c>
      <c r="AD29" s="3806"/>
      <c r="AE29" s="3806"/>
      <c r="AF29" s="3806"/>
      <c r="AG29" s="3806"/>
      <c r="AH29" s="3806"/>
      <c r="AQ29" s="3489">
        <v>0</v>
      </c>
    </row>
    <row customHeight="1" ht="18.75" hidden="1">
      <c r="S30" s="3843" t="s">
        <v>42</v>
      </c>
      <c r="T30" s="3843"/>
      <c r="U30" s="3844"/>
      <c r="V30" s="3806" t="str">
        <f>IF(TITLE_IST_PUB_CHANGE="",IF(TITLE_IST_PUB="","",TITLE_IST_PUB),TITLE_IST_PUB_CHANGE)</f>
        <v/>
      </c>
      <c r="W30" s="3806"/>
      <c r="X30" s="3806"/>
      <c r="Y30" s="3806"/>
      <c r="Z30" s="3806"/>
      <c r="AA30" s="3806"/>
      <c r="AC30" s="3806" t="str">
        <f>IF(TITLE_IST_PUB_CHANGE="",IF(TITLE_IST_PUB="","",TITLE_IST_PUB),TITLE_IST_PUB_CHANGE)</f>
        <v/>
      </c>
      <c r="AD30" s="3806"/>
      <c r="AE30" s="3806"/>
      <c r="AF30" s="3806"/>
      <c r="AG30" s="3806"/>
      <c r="AH30" s="3806"/>
      <c r="AQ30" s="3489">
        <v>0</v>
      </c>
    </row>
    <row customHeight="1" ht="14.25" hidden="1">
      <c r="Q31" s="3719"/>
      <c r="R31" s="3719"/>
      <c r="S31" s="3842"/>
      <c r="T31" s="3450"/>
      <c r="U31" s="3450"/>
      <c r="V31" s="3804"/>
      <c r="W31" s="3804"/>
      <c r="X31" s="3804"/>
      <c r="Y31" s="3804"/>
      <c r="Z31" s="3804"/>
      <c r="AA31" s="3804"/>
      <c r="AB31" s="3804"/>
      <c r="AC31" s="3804"/>
      <c r="AD31" s="3804"/>
      <c r="AE31" s="3804"/>
      <c r="AF31" s="3804"/>
      <c r="AG31" s="3804"/>
      <c r="AH31" s="3804"/>
      <c r="AI31" s="3804"/>
      <c r="AQ31" s="3432">
        <v>0</v>
      </c>
    </row>
    <row customHeight="1" ht="18.75" hidden="1">
      <c r="S32" s="3843" t="s">
        <v>440</v>
      </c>
      <c r="T32" s="3843"/>
      <c r="U32" s="3844"/>
      <c r="V32" s="795" t="str">
        <f>IF(TITLE_DATE_PR_CHANGE="",IF(TITLE_DATE_PR="","",TITLE_DATE_PR),TITLE_DATE_PR_CHANGE)</f>
        <v/>
      </c>
      <c r="W32" s="795"/>
      <c r="X32" s="795"/>
      <c r="Y32" s="795"/>
      <c r="Z32" s="795"/>
      <c r="AA32" s="795"/>
      <c r="AC32" s="795" t="str">
        <f>IF(TITLE_DATE_PR_CHANGE="",IF(TITLE_DATE_PR="","",TITLE_DATE_PR),TITLE_DATE_PR_CHANGE)</f>
        <v/>
      </c>
      <c r="AD32" s="795"/>
      <c r="AE32" s="795"/>
      <c r="AF32" s="795"/>
      <c r="AG32" s="795"/>
      <c r="AH32" s="795"/>
      <c r="AQ32" s="3489">
        <v>0</v>
      </c>
    </row>
    <row customHeight="1" ht="18.75" hidden="1">
      <c r="S33" s="3843" t="s">
        <v>441</v>
      </c>
      <c r="T33" s="3843"/>
      <c r="U33" s="3844"/>
      <c r="V33" s="3806" t="str">
        <f>IF(TITLE_NUMBER_PR_CHANGE="",IF(TITLE_NUMBER_PR="","",TITLE_NUMBER_PR),TITLE_NUMBER_PR_CHANGE)</f>
        <v/>
      </c>
      <c r="W33" s="3806"/>
      <c r="X33" s="3806"/>
      <c r="Y33" s="3806"/>
      <c r="Z33" s="3806"/>
      <c r="AA33" s="3806"/>
      <c r="AC33" s="3806" t="str">
        <f>IF(TITLE_NUMBER_PR_CHANGE="",IF(TITLE_NUMBER_PR="","",TITLE_NUMBER_PR),TITLE_NUMBER_PR_CHANGE)</f>
        <v/>
      </c>
      <c r="AD33" s="3806"/>
      <c r="AE33" s="3806"/>
      <c r="AF33" s="3806"/>
      <c r="AG33" s="3806"/>
      <c r="AH33" s="3806"/>
      <c r="AQ33" s="3489">
        <v>0</v>
      </c>
    </row>
    <row customHeight="1" ht="1.05">
      <c r="AB34" s="3473" t="s">
        <v>442</v>
      </c>
      <c r="AI34" s="3473" t="s">
        <v>442</v>
      </c>
      <c r="AQ34" s="3489">
        <v>1</v>
      </c>
    </row>
    <row customHeight="1" ht="14.699999999999998">
      <c r="Q35" s="3719"/>
      <c r="R35" s="3719"/>
      <c r="S35" s="3842"/>
      <c r="T35" s="3450"/>
      <c r="U35" s="3845"/>
      <c r="V35" s="3846"/>
      <c r="W35" s="3846"/>
      <c r="X35" s="3846"/>
      <c r="Y35" s="3846"/>
      <c r="Z35" s="3846"/>
      <c r="AA35" s="3846"/>
      <c r="AB35" s="3846"/>
      <c r="AC35" s="3846"/>
      <c r="AD35" s="3846"/>
      <c r="AE35" s="3846"/>
      <c r="AF35" s="3846"/>
      <c r="AG35" s="3846"/>
      <c r="AH35" s="3846"/>
      <c r="AI35" s="3846"/>
      <c r="AQ35" s="3432">
        <v>14</v>
      </c>
    </row>
    <row customHeight="1" ht="14.699999999999998">
      <c r="Q36" s="3719"/>
      <c r="R36" s="3719"/>
      <c r="S36" s="3480" t="s">
        <v>315</v>
      </c>
      <c r="T36" s="3480"/>
      <c r="U36" s="3480"/>
      <c r="V36" s="3480"/>
      <c r="W36" s="3480"/>
      <c r="X36" s="3480"/>
      <c r="Y36" s="3480"/>
      <c r="Z36" s="3480"/>
      <c r="AA36" s="3480"/>
      <c r="AB36" s="3480"/>
      <c r="AC36" s="3480"/>
      <c r="AD36" s="3480"/>
      <c r="AE36" s="3480"/>
      <c r="AF36" s="3480"/>
      <c r="AG36" s="3480"/>
      <c r="AH36" s="3480"/>
      <c r="AI36" s="3480"/>
      <c r="AJ36" s="3480"/>
      <c r="AK36" s="3480" t="s">
        <v>316</v>
      </c>
      <c r="AQ36" s="3432">
        <v>14</v>
      </c>
    </row>
    <row customHeight="1" ht="14.699999999999998">
      <c r="Q37" s="3719"/>
      <c r="R37" s="3719"/>
      <c r="S37" s="3818" t="s">
        <v>86</v>
      </c>
      <c r="T37" s="3579" t="s">
        <v>443</v>
      </c>
      <c r="U37" s="3793"/>
      <c r="V37" s="3847" t="s">
        <v>444</v>
      </c>
      <c r="W37" s="3848"/>
      <c r="X37" s="3848"/>
      <c r="Y37" s="3848"/>
      <c r="Z37" s="3848"/>
      <c r="AA37" s="3849"/>
      <c r="AB37" s="3807" t="s">
        <v>445</v>
      </c>
      <c r="AC37" s="3847" t="s">
        <v>444</v>
      </c>
      <c r="AD37" s="3848"/>
      <c r="AE37" s="3848"/>
      <c r="AF37" s="3848"/>
      <c r="AG37" s="3848"/>
      <c r="AH37" s="3849"/>
      <c r="AI37" s="3807" t="s">
        <v>446</v>
      </c>
      <c r="AJ37" s="868" t="s">
        <v>447</v>
      </c>
      <c r="AK37" s="3480"/>
      <c r="AQ37" s="3432">
        <v>14</v>
      </c>
    </row>
    <row customHeight="1" ht="35.699999999999996">
      <c r="Q38" s="3719"/>
      <c r="R38" s="3719"/>
      <c r="S38" s="3818"/>
      <c r="T38" s="3579"/>
      <c r="U38" s="3798"/>
      <c r="V38" s="3558" t="s">
        <v>504</v>
      </c>
      <c r="W38" s="3437" t="s">
        <v>450</v>
      </c>
      <c r="X38" s="3436"/>
      <c r="Y38" s="3437" t="s">
        <v>451</v>
      </c>
      <c r="Z38" s="3477"/>
      <c r="AA38" s="3436"/>
      <c r="AB38" s="3851"/>
      <c r="AC38" s="3558" t="s">
        <v>504</v>
      </c>
      <c r="AD38" s="3437" t="s">
        <v>450</v>
      </c>
      <c r="AE38" s="3436"/>
      <c r="AF38" s="3437" t="s">
        <v>451</v>
      </c>
      <c r="AG38" s="3477"/>
      <c r="AH38" s="3436"/>
      <c r="AI38" s="3851"/>
      <c r="AJ38" s="871"/>
      <c r="AK38" s="3480"/>
      <c r="AQ38" s="3432">
        <v>34</v>
      </c>
    </row>
    <row customHeight="1" ht="35.699999999999996">
      <c r="B39" s="3511" t="s">
        <v>153</v>
      </c>
      <c r="C39" s="3511" t="s">
        <v>154</v>
      </c>
      <c r="D39" s="3511" t="s">
        <v>155</v>
      </c>
      <c r="E39" s="3830" t="s">
        <v>452</v>
      </c>
      <c r="F39" s="3830" t="s">
        <v>453</v>
      </c>
      <c r="G39" s="3830" t="s">
        <v>454</v>
      </c>
      <c r="I39" s="3830" t="s">
        <v>505</v>
      </c>
      <c r="J39" s="3830" t="s">
        <v>457</v>
      </c>
      <c r="K39" s="3830" t="s">
        <v>506</v>
      </c>
      <c r="L39" s="3830" t="s">
        <v>433</v>
      </c>
      <c r="Q39" s="3719"/>
      <c r="R39" s="3719"/>
      <c r="S39" s="3818"/>
      <c r="T39" s="3579"/>
      <c r="U39" s="3852"/>
      <c r="V39" s="3558" t="s">
        <v>507</v>
      </c>
      <c r="W39" s="3525" t="s">
        <v>508</v>
      </c>
      <c r="X39" s="3525" t="s">
        <v>509</v>
      </c>
      <c r="Y39" s="3525" t="s">
        <v>461</v>
      </c>
      <c r="Z39" s="3626" t="s">
        <v>462</v>
      </c>
      <c r="AA39" s="3628"/>
      <c r="AB39" s="3810"/>
      <c r="AC39" s="3558" t="s">
        <v>507</v>
      </c>
      <c r="AD39" s="3525" t="s">
        <v>508</v>
      </c>
      <c r="AE39" s="3525" t="s">
        <v>509</v>
      </c>
      <c r="AF39" s="3525" t="s">
        <v>461</v>
      </c>
      <c r="AG39" s="3626" t="s">
        <v>462</v>
      </c>
      <c r="AH39" s="3628"/>
      <c r="AI39" s="3810"/>
      <c r="AJ39" s="873"/>
      <c r="AK39" s="3480"/>
      <c r="AQ39" s="3432">
        <v>34</v>
      </c>
    </row>
    <row customHeight="1" ht="0">
      <c r="Q40" s="3853"/>
      <c r="R40" s="3854">
        <v>1</v>
      </c>
      <c r="S40" s="876" t="s">
        <v>107</v>
      </c>
      <c r="T40" s="877" t="s">
        <v>108</v>
      </c>
      <c r="U40" s="3855" t="str">
        <f>OFFSET(U40,0,-1)</f>
        <v>2</v>
      </c>
      <c r="V40" s="3856">
        <f>OFFSET(V40,0,-1)+1</f>
        <v>3</v>
      </c>
      <c r="W40" s="3856">
        <f>OFFSET(W40,0,-1)+1</f>
        <v>4</v>
      </c>
      <c r="X40" s="3856">
        <f>OFFSET(X40,0,-1)+1</f>
        <v>5</v>
      </c>
      <c r="Y40" s="3856">
        <f>OFFSET(Y40,0,-1)+1</f>
        <v>6</v>
      </c>
      <c r="Z40" s="3856">
        <f>OFFSET(Z40,0,-1)+1</f>
        <v>7</v>
      </c>
      <c r="AA40" s="3856"/>
      <c r="AB40" s="3856">
        <f>OFFSET(AB40,0,-2)+1</f>
        <v>8</v>
      </c>
      <c r="AC40" s="3856">
        <f>OFFSET(AC40,0,-1)+1</f>
        <v>9</v>
      </c>
      <c r="AD40" s="3856">
        <f>OFFSET(AD40,0,-1)+1</f>
        <v>10</v>
      </c>
      <c r="AE40" s="3856">
        <f>OFFSET(AE40,0,-1)+1</f>
        <v>11</v>
      </c>
      <c r="AF40" s="3856">
        <f>OFFSET(AF40,0,-1)+1</f>
        <v>12</v>
      </c>
      <c r="AG40" s="3856">
        <f>OFFSET(AG40,0,-1)+1</f>
        <v>13</v>
      </c>
      <c r="AH40" s="3856"/>
      <c r="AI40" s="3856">
        <f>OFFSET(AI40,0,-2)+1</f>
        <v>14</v>
      </c>
      <c r="AJ40" s="3855">
        <f>OFFSET(AJ40,0,-1)</f>
        <v>14</v>
      </c>
      <c r="AK40" s="3856">
        <f>OFFSET(AK40,0,-1)+1</f>
        <v>15</v>
      </c>
      <c r="AQ40" s="3637">
        <v>0</v>
      </c>
    </row>
    <row customHeight="1" ht="24">
      <c r="A41" s="3857" t="s">
        <v>246</v>
      </c>
      <c r="E41" s="3817">
        <v>1</v>
      </c>
      <c r="R41" s="816"/>
      <c r="S41" s="3818">
        <f>INDEX(PT_DIFFERENTIATION_NUM_NTAR,MATCH(A41,PT_DIFFERENTIATION_NTAR_ID,0))</f>
        <v>0</v>
      </c>
      <c r="T41" s="3764" t="s">
        <v>141</v>
      </c>
      <c r="U41" s="3819"/>
      <c r="V41" s="3820"/>
      <c r="W41" s="3821"/>
      <c r="X41" s="3821"/>
      <c r="Y41" s="3821"/>
      <c r="Z41" s="3821"/>
      <c r="AA41" s="3821"/>
      <c r="AB41" s="3822"/>
      <c r="AC41" s="3820" t="str">
        <f>INDEX(PT_DIFFERENTIATION_NTAR,MATCH(A41,PT_DIFFERENTIATION_NTAR_ID,0))</f>
        <v/>
      </c>
      <c r="AD41" s="3821"/>
      <c r="AE41" s="3821"/>
      <c r="AF41" s="3821"/>
      <c r="AG41" s="3821"/>
      <c r="AH41" s="3821"/>
      <c r="AI41" s="3821"/>
      <c r="AJ41" s="3822"/>
      <c r="AK41"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3479" t="str">
        <f>IF(T41="","",T41)</f>
        <v>Наименование тарифа</v>
      </c>
      <c r="AQ41" s="3432">
        <v>23</v>
      </c>
    </row>
    <row customHeight="1" ht="24">
      <c r="A42" s="3857" t="s">
        <v>246</v>
      </c>
      <c r="B42" s="3857" t="s">
        <v>247</v>
      </c>
      <c r="E42" s="3824"/>
      <c r="F42" s="3817">
        <v>1</v>
      </c>
      <c r="Q42" s="3825"/>
      <c r="R42" s="3826"/>
      <c r="S42" s="3818" t="str">
        <f>INDEX(PT_DIFFERENTIATION_NUM_TER,MATCH(B42,PT_DIFFERENTIATION_TER_ID,0))</f>
        <v>.</v>
      </c>
      <c r="T42" s="3827" t="s">
        <v>412</v>
      </c>
      <c r="U42" s="3819"/>
      <c r="V42" s="3820"/>
      <c r="W42" s="3821"/>
      <c r="X42" s="3821"/>
      <c r="Y42" s="3821"/>
      <c r="Z42" s="3821"/>
      <c r="AA42" s="3821"/>
      <c r="AB42" s="3822"/>
      <c r="AC42" s="3820" t="str">
        <f>INDEX(PT_DIFFERENTIATION_TER,MATCH(B42,PT_DIFFERENTIATION_TER_ID,0))</f>
        <v/>
      </c>
      <c r="AD42" s="3821"/>
      <c r="AE42" s="3821"/>
      <c r="AF42" s="3821"/>
      <c r="AG42" s="3821"/>
      <c r="AH42" s="3821"/>
      <c r="AI42" s="3821"/>
      <c r="AJ42" s="3822"/>
      <c r="AK42" s="3823" t="s">
        <v>413</v>
      </c>
      <c r="AN42" s="3479" t="str">
        <f>IF(T42="","",T42)</f>
        <v>Территория действия тарифа</v>
      </c>
      <c r="AQ42" s="3432">
        <v>23</v>
      </c>
    </row>
    <row customHeight="1" ht="24">
      <c r="A43" s="3857" t="s">
        <v>246</v>
      </c>
      <c r="B43" s="3857" t="s">
        <v>247</v>
      </c>
      <c r="C43" s="3857" t="s">
        <v>248</v>
      </c>
      <c r="E43" s="3824"/>
      <c r="F43" s="3824"/>
      <c r="G43" s="3817">
        <v>1</v>
      </c>
      <c r="Q43" s="3825"/>
      <c r="R43" s="3826"/>
      <c r="S43" s="3818" t="str">
        <f>INDEX(PT_DIFFERENTIATION_NUM_CS,MATCH(C43,PT_DIFFERENTIATION_CS_ID,0))</f>
        <v>..</v>
      </c>
      <c r="T43" s="3828" t="s">
        <v>496</v>
      </c>
      <c r="U43" s="3819"/>
      <c r="V43" s="3820"/>
      <c r="W43" s="3821"/>
      <c r="X43" s="3821"/>
      <c r="Y43" s="3821"/>
      <c r="Z43" s="3821"/>
      <c r="AA43" s="3821"/>
      <c r="AB43" s="3822"/>
      <c r="AC43" s="3820" t="str">
        <f>INDEX(PT_DIFFERENTIATION_CS,MATCH(C43,PT_DIFFERENTIATION_CS_ID,0))</f>
        <v/>
      </c>
      <c r="AD43" s="3821"/>
      <c r="AE43" s="3821"/>
      <c r="AF43" s="3821"/>
      <c r="AG43" s="3821"/>
      <c r="AH43" s="3821"/>
      <c r="AI43" s="3821"/>
      <c r="AJ43" s="3822"/>
      <c r="AK43" s="3823" t="s">
        <v>497</v>
      </c>
      <c r="AN43" s="3479" t="str">
        <f>IF(T43="","",T43)</f>
        <v>Наименование централизованной системы холодного водоснабжения</v>
      </c>
      <c r="AQ43" s="3432">
        <v>23</v>
      </c>
    </row>
    <row customHeight="1" ht="24">
      <c r="A44" s="3857" t="s">
        <v>246</v>
      </c>
      <c r="B44" s="3857" t="s">
        <v>247</v>
      </c>
      <c r="C44" s="3857" t="s">
        <v>248</v>
      </c>
      <c r="D44" s="3857" t="s">
        <v>511</v>
      </c>
      <c r="E44" s="3824"/>
      <c r="F44" s="3824"/>
      <c r="G44" s="3824"/>
      <c r="H44" s="3824"/>
      <c r="I44" s="3711" t="str">
        <f>S43&amp;".1"</f>
        <v>...1</v>
      </c>
      <c r="P44" s="3471">
        <v>1</v>
      </c>
      <c r="R44" s="3831"/>
      <c r="S44" s="3818" t="str">
        <f>$I44</f>
        <v>...1</v>
      </c>
      <c r="T44" s="3832" t="s">
        <v>498</v>
      </c>
      <c r="U44" s="3819"/>
      <c r="V44" s="3938"/>
      <c r="W44" s="3939"/>
      <c r="X44" s="3939"/>
      <c r="Y44" s="3939"/>
      <c r="Z44" s="3939"/>
      <c r="AA44" s="3939"/>
      <c r="AB44" s="3940"/>
      <c r="AC44" s="1018"/>
      <c r="AD44" s="1031"/>
      <c r="AE44" s="1031"/>
      <c r="AF44" s="1031"/>
      <c r="AG44" s="1031"/>
      <c r="AH44" s="1031"/>
      <c r="AI44" s="1031"/>
      <c r="AJ44" s="1032"/>
      <c r="AK44" s="3823" t="s">
        <v>499</v>
      </c>
      <c r="AN44" s="3479" t="str">
        <f>IF(T44="","",T44)</f>
        <v>Наименование признака дифференциации</v>
      </c>
      <c r="AQ44" s="3432">
        <v>23</v>
      </c>
    </row>
    <row customHeight="1" ht="24">
      <c r="A45" s="3857" t="s">
        <v>246</v>
      </c>
      <c r="B45" s="3857" t="s">
        <v>247</v>
      </c>
      <c r="C45" s="3857" t="s">
        <v>248</v>
      </c>
      <c r="D45" s="3857" t="s">
        <v>511</v>
      </c>
      <c r="E45" s="3824"/>
      <c r="F45" s="3824"/>
      <c r="G45" s="3824"/>
      <c r="H45" s="3824"/>
      <c r="I45" s="3835"/>
      <c r="J45" s="3711" t="str">
        <f>I44&amp;".1"</f>
        <v>...1.1</v>
      </c>
      <c r="L45" s="3830" t="s">
        <v>421</v>
      </c>
      <c r="Q45" s="3471">
        <v>1</v>
      </c>
      <c r="R45" s="3836"/>
      <c r="S45" s="3818" t="str">
        <f>$J45</f>
        <v>...1.1</v>
      </c>
      <c r="T45" s="3837" t="s">
        <v>422</v>
      </c>
      <c r="U45" s="3819"/>
      <c r="V45" s="3638"/>
      <c r="W45" s="3833"/>
      <c r="X45" s="3833"/>
      <c r="Y45" s="3833"/>
      <c r="Z45" s="3833"/>
      <c r="AA45" s="3833"/>
      <c r="AB45" s="3834"/>
      <c r="AC45" s="3638"/>
      <c r="AD45" s="3833"/>
      <c r="AE45" s="3833"/>
      <c r="AF45" s="3833"/>
      <c r="AG45" s="3833"/>
      <c r="AH45" s="3833"/>
      <c r="AI45" s="3833"/>
      <c r="AJ45" s="3834"/>
      <c r="AK45" s="3883" t="s">
        <v>500</v>
      </c>
      <c r="AN45" s="3479" t="str">
        <f>IF(T45="","",T45)</f>
        <v>Группа потребителей</v>
      </c>
      <c r="AQ45" s="3432">
        <v>23</v>
      </c>
    </row>
    <row customHeight="1" ht="24">
      <c r="A46" s="3857" t="s">
        <v>246</v>
      </c>
      <c r="B46" s="3857" t="s">
        <v>247</v>
      </c>
      <c r="C46" s="3857" t="s">
        <v>248</v>
      </c>
      <c r="D46" s="3857" t="s">
        <v>511</v>
      </c>
      <c r="E46" s="3824"/>
      <c r="F46" s="3824"/>
      <c r="G46" s="3824"/>
      <c r="H46" s="3824"/>
      <c r="I46" s="3835"/>
      <c r="J46" s="3835"/>
      <c r="K46" s="3711" t="str">
        <f>J45&amp;".1"</f>
        <v>...1.1.1</v>
      </c>
      <c r="R46" s="3836">
        <v>1</v>
      </c>
      <c r="S46" s="3818" t="str">
        <f>$K46</f>
        <v>...1.1.1</v>
      </c>
      <c r="T46" s="1033"/>
      <c r="U46" s="3819"/>
      <c r="V46" s="838"/>
      <c r="W46" s="838"/>
      <c r="X46" s="840"/>
      <c r="Y46" s="572"/>
      <c r="Z46" s="210" t="s">
        <v>61</v>
      </c>
      <c r="AA46" s="572"/>
      <c r="AB46" s="210" t="s">
        <v>61</v>
      </c>
      <c r="AC46" s="838"/>
      <c r="AD46" s="838"/>
      <c r="AE46" s="840"/>
      <c r="AF46" s="572"/>
      <c r="AG46" s="210" t="s">
        <v>61</v>
      </c>
      <c r="AH46" s="881"/>
      <c r="AI46" s="210" t="s">
        <v>61</v>
      </c>
      <c r="AJ46" s="1034"/>
      <c r="AK46"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473">
        <f>STRCHECKDATE(V47:AJ47)</f>
      </c>
      <c r="AN46" s="3479" t="str">
        <f>IF(T46="","",T46)</f>
        <v/>
      </c>
      <c r="AQ46" s="3432">
        <v>23</v>
      </c>
    </row>
    <row customHeight="1" ht="0">
      <c r="A47" s="3857" t="s">
        <v>246</v>
      </c>
      <c r="B47" s="3857" t="s">
        <v>247</v>
      </c>
      <c r="C47" s="3857" t="s">
        <v>248</v>
      </c>
      <c r="D47" s="3857" t="s">
        <v>511</v>
      </c>
      <c r="E47" s="3824"/>
      <c r="F47" s="3824"/>
      <c r="G47" s="3824"/>
      <c r="H47" s="3824"/>
      <c r="I47" s="3835"/>
      <c r="J47" s="3835"/>
      <c r="K47" s="3711"/>
      <c r="R47" s="3836"/>
      <c r="S47" s="421"/>
      <c r="T47" s="3819"/>
      <c r="U47" s="3819"/>
      <c r="V47" s="839"/>
      <c r="W47" s="839"/>
      <c r="X47" s="842" t="str">
        <f>Y46&amp;"-"&amp;AA46</f>
        <v>-</v>
      </c>
      <c r="Y47" s="573"/>
      <c r="Z47" s="210"/>
      <c r="AA47" s="573"/>
      <c r="AB47" s="210"/>
      <c r="AC47" s="839"/>
      <c r="AD47" s="839"/>
      <c r="AE47" s="842" t="str">
        <f>AF46&amp;"-"&amp;AH46</f>
        <v>-</v>
      </c>
      <c r="AF47" s="573"/>
      <c r="AG47" s="210"/>
      <c r="AH47" s="883"/>
      <c r="AI47" s="210"/>
      <c r="AJ47" s="1015"/>
      <c r="AK47" s="3941"/>
      <c r="AN47" s="3479" t="str">
        <f>IF(T47="","",T47)</f>
        <v/>
      </c>
      <c r="AQ47" s="3432">
        <v>0</v>
      </c>
    </row>
    <row customHeight="1" ht="21">
      <c r="A48" s="3857" t="s">
        <v>246</v>
      </c>
      <c r="B48" s="3857" t="s">
        <v>247</v>
      </c>
      <c r="C48" s="3857" t="s">
        <v>248</v>
      </c>
      <c r="D48" s="3857" t="s">
        <v>511</v>
      </c>
      <c r="E48" s="3824"/>
      <c r="F48" s="3824"/>
      <c r="G48" s="3824"/>
      <c r="H48" s="3824"/>
      <c r="I48" s="3835"/>
      <c r="J48" s="3711"/>
      <c r="R48" s="3831"/>
      <c r="S48" s="844"/>
      <c r="T48" s="848" t="s">
        <v>501</v>
      </c>
      <c r="U48" s="200"/>
      <c r="V48" s="200"/>
      <c r="W48" s="200"/>
      <c r="X48" s="200"/>
      <c r="Y48" s="200"/>
      <c r="Z48" s="200"/>
      <c r="AA48" s="200"/>
      <c r="AB48" s="200"/>
      <c r="AC48" s="200"/>
      <c r="AD48" s="200"/>
      <c r="AE48" s="200"/>
      <c r="AF48" s="200"/>
      <c r="AG48" s="200"/>
      <c r="AH48" s="200"/>
      <c r="AI48" s="200"/>
      <c r="AJ48" s="200"/>
      <c r="AK48" s="3823" t="s">
        <v>502</v>
      </c>
      <c r="AN48" s="3479" t="str">
        <f>IF(T48="","",T48)</f>
        <v>Добавить значение признака дифференциации</v>
      </c>
      <c r="AQ48" s="3432">
        <v>20</v>
      </c>
    </row>
    <row customHeight="1" ht="22.049999999999997">
      <c r="A49" s="3857" t="s">
        <v>246</v>
      </c>
      <c r="B49" s="3857" t="s">
        <v>247</v>
      </c>
      <c r="C49" s="3857" t="s">
        <v>248</v>
      </c>
      <c r="D49" s="3857" t="s">
        <v>511</v>
      </c>
      <c r="E49" s="3824"/>
      <c r="F49" s="3824"/>
      <c r="G49" s="3824"/>
      <c r="H49" s="3824"/>
      <c r="I49" s="3711"/>
      <c r="R49" s="3831"/>
      <c r="S49" s="844"/>
      <c r="T49" s="851" t="s">
        <v>427</v>
      </c>
      <c r="U49" s="200"/>
      <c r="V49" s="200"/>
      <c r="W49" s="200"/>
      <c r="X49" s="200"/>
      <c r="Y49" s="200"/>
      <c r="Z49" s="200"/>
      <c r="AA49" s="200"/>
      <c r="AB49" s="849"/>
      <c r="AC49" s="200"/>
      <c r="AD49" s="200"/>
      <c r="AE49" s="200"/>
      <c r="AF49" s="200"/>
      <c r="AG49" s="200"/>
      <c r="AH49" s="200"/>
      <c r="AI49" s="849"/>
      <c r="AJ49" s="200"/>
      <c r="AK49" s="1036"/>
      <c r="AN49" s="3479" t="str">
        <f>IF(T49="","",T49)</f>
        <v>Добавить группу потребителей</v>
      </c>
      <c r="AQ49" s="3432">
        <v>21</v>
      </c>
    </row>
    <row customHeight="1" ht="22.049999999999997">
      <c r="A50" s="3857" t="s">
        <v>246</v>
      </c>
      <c r="B50" s="3857" t="s">
        <v>247</v>
      </c>
      <c r="C50" s="3857" t="s">
        <v>248</v>
      </c>
      <c r="D50" s="3857" t="s">
        <v>511</v>
      </c>
      <c r="E50" s="3824"/>
      <c r="F50" s="3824"/>
      <c r="G50" s="3824"/>
      <c r="H50" s="3817"/>
      <c r="R50" s="816"/>
      <c r="S50" s="844"/>
      <c r="T50" s="994" t="s">
        <v>503</v>
      </c>
      <c r="U50" s="200"/>
      <c r="V50" s="200"/>
      <c r="W50" s="200"/>
      <c r="X50" s="200"/>
      <c r="Y50" s="200"/>
      <c r="Z50" s="200"/>
      <c r="AA50" s="200"/>
      <c r="AB50" s="849"/>
      <c r="AC50" s="200"/>
      <c r="AD50" s="200"/>
      <c r="AE50" s="200"/>
      <c r="AF50" s="200"/>
      <c r="AG50" s="200"/>
      <c r="AH50" s="200"/>
      <c r="AI50" s="849"/>
      <c r="AJ50" s="200"/>
      <c r="AK50" s="850"/>
      <c r="AN50" s="3479" t="str">
        <f>IF(T50="","",T50)</f>
        <v>Добавить наименование признака дифференциации</v>
      </c>
      <c r="AQ50" s="3432">
        <v>21</v>
      </c>
    </row>
    <row customHeight="1" ht="0">
      <c r="A51" s="3470" t="s">
        <v>246</v>
      </c>
      <c r="B51" s="3470" t="s">
        <v>247</v>
      </c>
      <c r="E51" s="3824"/>
      <c r="F51" s="3817"/>
      <c r="T51" s="856" t="s">
        <v>430</v>
      </c>
      <c r="AN51" s="3479" t="str">
        <f>IF(T51="","",T51)</f>
        <v>Добавить централизованную систему для дифференциации</v>
      </c>
      <c r="AQ51" s="3473">
        <v>0</v>
      </c>
    </row>
    <row customHeight="1" ht="0">
      <c r="A52" s="3470" t="s">
        <v>246</v>
      </c>
      <c r="E52" s="3817"/>
      <c r="T52" s="856" t="s">
        <v>431</v>
      </c>
      <c r="AN52" s="3479" t="str">
        <f>IF(T52="","",T52)</f>
        <v>Добавить территорию для дифференциации</v>
      </c>
      <c r="AQ52" s="3473">
        <v>0</v>
      </c>
    </row>
    <row customHeight="1" ht="0">
      <c r="T53" s="856" t="s">
        <v>463</v>
      </c>
      <c r="AN53" s="3479" t="str">
        <f>IF(T53="","",T53)</f>
        <v>Добавить наименование тарифа</v>
      </c>
      <c r="AQ53" s="3473">
        <v>0</v>
      </c>
    </row>
    <row customHeight="1" ht="11.549999999999999">
      <c r="AQ54" s="3432">
        <v>11</v>
      </c>
    </row>
    <row customHeight="1" ht="14.699999999999998">
      <c r="AQ55" s="3432">
        <v>14</v>
      </c>
    </row>
    <row customHeight="1" ht="14.699999999999998">
      <c r="AQ56" s="3432">
        <v>14</v>
      </c>
    </row>
    <row customHeight="1" ht="14.699999999999998">
      <c r="AQ57" s="3432">
        <v>14</v>
      </c>
    </row>
    <row customHeight="1" ht="22.5" hidden="1">
      <c r="A58" s="3449" t="s">
        <v>80</v>
      </c>
      <c r="B58" s="3449">
        <v>0</v>
      </c>
      <c r="C58" s="3449">
        <v>0</v>
      </c>
      <c r="D58" s="3449">
        <v>0</v>
      </c>
      <c r="E58" s="3449">
        <v>0</v>
      </c>
      <c r="F58" s="3449">
        <v>0</v>
      </c>
      <c r="G58" s="3449">
        <v>0</v>
      </c>
      <c r="H58" s="3449">
        <v>0</v>
      </c>
      <c r="I58" s="3449">
        <v>0</v>
      </c>
      <c r="J58" s="3449">
        <v>0</v>
      </c>
      <c r="K58" s="3449">
        <v>0</v>
      </c>
      <c r="L58" s="3618">
        <v>0</v>
      </c>
      <c r="M58" s="105">
        <v>0</v>
      </c>
      <c r="N58" s="105">
        <v>0</v>
      </c>
      <c r="O58" s="105">
        <v>0</v>
      </c>
      <c r="P58" s="782">
        <v>3</v>
      </c>
      <c r="Q58" s="3797">
        <v>3</v>
      </c>
      <c r="R58" s="3797">
        <v>3</v>
      </c>
      <c r="S58" s="3447">
        <v>12</v>
      </c>
      <c r="T58" s="3432">
        <v>35</v>
      </c>
      <c r="U58" s="3432">
        <v>0</v>
      </c>
      <c r="V58" s="3432">
        <v>0</v>
      </c>
      <c r="W58" s="3432">
        <v>0</v>
      </c>
      <c r="X58" s="3432">
        <v>0</v>
      </c>
      <c r="Y58" s="3432">
        <v>0</v>
      </c>
      <c r="Z58" s="3432">
        <v>0</v>
      </c>
      <c r="AA58" s="3432">
        <v>0</v>
      </c>
      <c r="AB58" s="3432">
        <v>0</v>
      </c>
      <c r="AC58" s="3432">
        <v>24</v>
      </c>
      <c r="AD58" s="3432">
        <v>24</v>
      </c>
      <c r="AE58" s="3432">
        <v>24</v>
      </c>
      <c r="AF58" s="3432">
        <v>11</v>
      </c>
      <c r="AG58" s="3432">
        <v>3</v>
      </c>
      <c r="AH58" s="3432">
        <v>11</v>
      </c>
      <c r="AI58" s="3432">
        <v>0</v>
      </c>
      <c r="AJ58" s="3432">
        <v>4</v>
      </c>
      <c r="AK58" s="3432">
        <v>115</v>
      </c>
      <c r="AL58" s="3473">
        <v>10</v>
      </c>
      <c r="AM58" s="3473">
        <v>10</v>
      </c>
      <c r="AN58" s="3473">
        <v>10</v>
      </c>
      <c r="AO58" s="3473">
        <v>10</v>
      </c>
      <c r="AP58" s="3473">
        <v>10</v>
      </c>
      <c r="AQ58" s="343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FF80D-91CF-6EBD-F3AF-53052EB807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4.140625" hidden="1" customWidth="1"/>
    <col min="10" max="10" style="7348" width="9.8515625" hidden="1" customWidth="1"/>
    <col min="11" max="11" style="7348" width="14.71093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4" style="7348" width="24.7109375" hidden="1" customWidth="1"/>
    <col min="25" max="25" style="7348" width="11.7109375" hidden="1" customWidth="1"/>
    <col min="26" max="26" style="7348" width="3.7109375" hidden="1" customWidth="1"/>
    <col min="27" max="27" style="7348" width="11.7109375" hidden="1" customWidth="1"/>
    <col min="28" max="28" style="7348" width="8.57421875" hidden="1" customWidth="1"/>
    <col min="29" max="29" style="7348" width="24.7109375" customWidth="1"/>
    <col min="30" max="31" style="7348" width="24.00390625" customWidth="1"/>
    <col min="32" max="32" style="7348" width="11.00390625" customWidth="1"/>
    <col min="33" max="33" style="7348" width="3.7109375" customWidth="1"/>
    <col min="34" max="34" style="7348" width="11.00390625" customWidth="1"/>
    <col min="35" max="35" style="7348" width="8.57421875" hidden="1" customWidth="1"/>
    <col min="36" max="36" style="7348" width="4.00390625" customWidth="1"/>
    <col min="37" max="37" style="7348" width="115.00390625" customWidth="1"/>
    <col min="38" max="42" style="7348" width="10.00390625" customWidth="1"/>
    <col min="43" max="43" style="7348" width="10.57421875" hidden="1"/>
  </cols>
  <sheetData>
    <row customHeight="1" ht="22.5" hidden="1">
      <c r="AQ1" s="3432" t="s">
        <v>14</v>
      </c>
    </row>
    <row customHeight="1" ht="23.25" hidden="1">
      <c r="E2" s="3817">
        <v>1</v>
      </c>
      <c r="R2" s="816"/>
      <c r="S2" s="3818">
        <f>INDEX(PT_DIFFERENTIATION_NUM_NTAR,MATCH(A2,PT_DIFFERENTIATION_NTAR_ID,0))</f>
      </c>
      <c r="T2" s="3764" t="s">
        <v>141</v>
      </c>
      <c r="U2" s="3819"/>
      <c r="V2" s="3820"/>
      <c r="W2" s="3821"/>
      <c r="X2" s="3821"/>
      <c r="Y2" s="3821"/>
      <c r="Z2" s="3821"/>
      <c r="AA2" s="3821"/>
      <c r="AB2" s="3822"/>
      <c r="AC2" s="3820">
        <f>INDEX(PT_DIFFERENTIATION_NTAR,MATCH(A2,PT_DIFFERENTIATION_NTAR_ID,0))</f>
      </c>
      <c r="AD2" s="3821"/>
      <c r="AE2" s="3821"/>
      <c r="AF2" s="3821"/>
      <c r="AG2" s="3821"/>
      <c r="AH2" s="3821"/>
      <c r="AI2" s="3821"/>
      <c r="AJ2" s="3822"/>
      <c r="AK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3479" t="str">
        <f>IF(T2="","",T2)</f>
        <v>Наименование тарифа</v>
      </c>
      <c r="AQ2" s="3432">
        <v>0</v>
      </c>
    </row>
    <row customHeight="1" ht="23.25" hidden="1">
      <c r="E3" s="3824"/>
      <c r="F3" s="3817">
        <v>1</v>
      </c>
      <c r="Q3" s="3825"/>
      <c r="R3" s="3826"/>
      <c r="S3" s="3818">
        <f>INDEX(PT_DIFFERENTIATION_NUM_TER,MATCH(B3,PT_DIFFERENTIATION_TER_ID,0))</f>
      </c>
      <c r="T3" s="3827" t="s">
        <v>412</v>
      </c>
      <c r="U3" s="3819"/>
      <c r="V3" s="3820"/>
      <c r="W3" s="3821"/>
      <c r="X3" s="3821"/>
      <c r="Y3" s="3821"/>
      <c r="Z3" s="3821"/>
      <c r="AA3" s="3821"/>
      <c r="AB3" s="3822"/>
      <c r="AC3" s="3820">
        <f>INDEX(PT_DIFFERENTIATION_TER,MATCH(B3,PT_DIFFERENTIATION_TER_ID,0))</f>
      </c>
      <c r="AD3" s="3821"/>
      <c r="AE3" s="3821"/>
      <c r="AF3" s="3821"/>
      <c r="AG3" s="3821"/>
      <c r="AH3" s="3821"/>
      <c r="AI3" s="3821"/>
      <c r="AJ3" s="3822"/>
      <c r="AK3" s="3823" t="s">
        <v>413</v>
      </c>
      <c r="AN3" s="3479" t="str">
        <f>IF(T3="","",T3)</f>
        <v>Территория действия тарифа</v>
      </c>
      <c r="AQ3" s="3432">
        <v>0</v>
      </c>
    </row>
    <row customHeight="1" ht="23.25" hidden="1">
      <c r="E4" s="3824"/>
      <c r="F4" s="3824"/>
      <c r="G4" s="3817">
        <v>1</v>
      </c>
      <c r="Q4" s="3825"/>
      <c r="R4" s="3826"/>
      <c r="S4" s="3818">
        <f>INDEX(PT_DIFFERENTIATION_NUM_CS,MATCH(C4,PT_DIFFERENTIATION_CS_ID,0))</f>
      </c>
      <c r="T4" s="3828" t="s">
        <v>496</v>
      </c>
      <c r="U4" s="3819"/>
      <c r="V4" s="3820"/>
      <c r="W4" s="3821"/>
      <c r="X4" s="3821"/>
      <c r="Y4" s="3821"/>
      <c r="Z4" s="3821"/>
      <c r="AA4" s="3821"/>
      <c r="AB4" s="3822"/>
      <c r="AC4" s="3820">
        <f>INDEX(PT_DIFFERENTIATION_CS,MATCH(C4,PT_DIFFERENTIATION_CS_ID,0))</f>
      </c>
      <c r="AD4" s="3821"/>
      <c r="AE4" s="3821"/>
      <c r="AF4" s="3821"/>
      <c r="AG4" s="3821"/>
      <c r="AH4" s="3821"/>
      <c r="AI4" s="3821"/>
      <c r="AJ4" s="3822"/>
      <c r="AK4" s="3823" t="s">
        <v>497</v>
      </c>
      <c r="AN4" s="3479" t="str">
        <f>IF(T4="","",T4)</f>
        <v>Наименование централизованной системы холодного водоснабжения</v>
      </c>
      <c r="AQ4" s="3432">
        <v>0</v>
      </c>
    </row>
    <row customHeight="1" ht="23.25" hidden="1">
      <c r="E5" s="3824"/>
      <c r="F5" s="3824"/>
      <c r="G5" s="3824"/>
      <c r="H5" s="3824"/>
      <c r="I5" s="3711">
        <f>S4&amp;".1"</f>
      </c>
      <c r="P5" s="3471">
        <v>1</v>
      </c>
      <c r="R5" s="3831"/>
      <c r="S5" s="3818">
        <f>$I5</f>
      </c>
      <c r="T5" s="3832" t="s">
        <v>498</v>
      </c>
      <c r="U5" s="3819"/>
      <c r="V5" s="3938"/>
      <c r="W5" s="3939"/>
      <c r="X5" s="3939"/>
      <c r="Y5" s="3939"/>
      <c r="Z5" s="3939"/>
      <c r="AA5" s="3939"/>
      <c r="AB5" s="3940"/>
      <c r="AC5" s="1018"/>
      <c r="AD5" s="1031"/>
      <c r="AE5" s="1031"/>
      <c r="AF5" s="1031"/>
      <c r="AG5" s="1031"/>
      <c r="AH5" s="1031"/>
      <c r="AI5" s="1031"/>
      <c r="AJ5" s="1032"/>
      <c r="AK5" s="3823" t="s">
        <v>499</v>
      </c>
      <c r="AN5" s="3479" t="str">
        <f>IF(T5="","",T5)</f>
        <v>Наименование признака дифференциации</v>
      </c>
      <c r="AQ5" s="3432">
        <v>0</v>
      </c>
    </row>
    <row customHeight="1" ht="23.25" hidden="1">
      <c r="E6" s="3824"/>
      <c r="F6" s="3824"/>
      <c r="G6" s="3824"/>
      <c r="H6" s="3824"/>
      <c r="I6" s="3835"/>
      <c r="J6" s="3711">
        <f>I5&amp;".1"</f>
      </c>
      <c r="L6" s="3830" t="s">
        <v>421</v>
      </c>
      <c r="Q6" s="3471">
        <v>1</v>
      </c>
      <c r="R6" s="3836"/>
      <c r="S6" s="3818">
        <f>$J6</f>
      </c>
      <c r="T6" s="3837" t="s">
        <v>422</v>
      </c>
      <c r="U6" s="3819"/>
      <c r="V6" s="3638"/>
      <c r="W6" s="3833"/>
      <c r="X6" s="3833"/>
      <c r="Y6" s="3833"/>
      <c r="Z6" s="3833"/>
      <c r="AA6" s="3833"/>
      <c r="AB6" s="3834"/>
      <c r="AC6" s="3638"/>
      <c r="AD6" s="3833"/>
      <c r="AE6" s="3833"/>
      <c r="AF6" s="3833"/>
      <c r="AG6" s="3833"/>
      <c r="AH6" s="3833"/>
      <c r="AI6" s="3833"/>
      <c r="AJ6" s="3834"/>
      <c r="AK6" s="3883" t="s">
        <v>500</v>
      </c>
      <c r="AN6" s="3479" t="str">
        <f>IF(T6="","",T6)</f>
        <v>Группа потребителей</v>
      </c>
      <c r="AQ6" s="3432">
        <v>0</v>
      </c>
    </row>
    <row customHeight="1" ht="23.25" hidden="1">
      <c r="E7" s="3824"/>
      <c r="F7" s="3824"/>
      <c r="G7" s="3824"/>
      <c r="H7" s="3824"/>
      <c r="I7" s="3835"/>
      <c r="J7" s="3835"/>
      <c r="K7" s="3711">
        <f>J6&amp;".1"</f>
      </c>
      <c r="R7" s="3836">
        <v>1</v>
      </c>
      <c r="S7" s="3818">
        <f>$K7</f>
      </c>
      <c r="T7" s="1033"/>
      <c r="U7" s="3819"/>
      <c r="V7" s="838"/>
      <c r="W7" s="838"/>
      <c r="X7" s="840"/>
      <c r="Y7" s="572"/>
      <c r="Z7" s="210" t="s">
        <v>61</v>
      </c>
      <c r="AA7" s="572"/>
      <c r="AB7" s="210" t="s">
        <v>61</v>
      </c>
      <c r="AC7" s="838"/>
      <c r="AD7" s="838"/>
      <c r="AE7" s="840"/>
      <c r="AF7" s="572"/>
      <c r="AG7" s="210" t="s">
        <v>61</v>
      </c>
      <c r="AH7" s="881"/>
      <c r="AI7" s="210" t="s">
        <v>61</v>
      </c>
      <c r="AJ7" s="1034"/>
      <c r="AK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473">
        <f>STRCHECKDATE(V8:AJ8)</f>
      </c>
      <c r="AN7" s="3479" t="str">
        <f>IF(T7="","",T7)</f>
        <v/>
      </c>
      <c r="AQ7" s="3432">
        <v>0</v>
      </c>
    </row>
    <row customHeight="1" ht="14.25" hidden="1">
      <c r="E8" s="3824"/>
      <c r="F8" s="3824"/>
      <c r="G8" s="3824"/>
      <c r="H8" s="3824"/>
      <c r="I8" s="3835"/>
      <c r="J8" s="3835"/>
      <c r="K8" s="3711"/>
      <c r="R8" s="3836"/>
      <c r="S8" s="421"/>
      <c r="T8" s="3819"/>
      <c r="U8" s="3819"/>
      <c r="V8" s="839"/>
      <c r="W8" s="839"/>
      <c r="X8" s="842" t="str">
        <f>Y7&amp;"-"&amp;AA7</f>
        <v>-</v>
      </c>
      <c r="Y8" s="573"/>
      <c r="Z8" s="210"/>
      <c r="AA8" s="573"/>
      <c r="AB8" s="210"/>
      <c r="AC8" s="839"/>
      <c r="AD8" s="839"/>
      <c r="AE8" s="842" t="str">
        <f>AF7&amp;"-"&amp;AH7</f>
        <v>-</v>
      </c>
      <c r="AF8" s="573"/>
      <c r="AG8" s="210"/>
      <c r="AH8" s="883"/>
      <c r="AI8" s="210"/>
      <c r="AJ8" s="1015"/>
      <c r="AK8" s="3941"/>
      <c r="AN8" s="3479" t="str">
        <f>IF(T8="","",T8)</f>
        <v/>
      </c>
      <c r="AQ8" s="3432">
        <v>0</v>
      </c>
    </row>
    <row customHeight="1" ht="21" hidden="1">
      <c r="E9" s="3824"/>
      <c r="F9" s="3824"/>
      <c r="G9" s="3824"/>
      <c r="H9" s="3824"/>
      <c r="I9" s="3835"/>
      <c r="J9" s="3711"/>
      <c r="R9" s="3831"/>
      <c r="S9" s="844"/>
      <c r="T9" s="848" t="s">
        <v>501</v>
      </c>
      <c r="U9" s="200"/>
      <c r="V9" s="200"/>
      <c r="W9" s="200"/>
      <c r="X9" s="200"/>
      <c r="Y9" s="200"/>
      <c r="Z9" s="200"/>
      <c r="AA9" s="200"/>
      <c r="AB9" s="200"/>
      <c r="AC9" s="200"/>
      <c r="AD9" s="200"/>
      <c r="AE9" s="200"/>
      <c r="AF9" s="200"/>
      <c r="AG9" s="200"/>
      <c r="AH9" s="200"/>
      <c r="AI9" s="200"/>
      <c r="AJ9" s="200"/>
      <c r="AK9" s="3823" t="s">
        <v>502</v>
      </c>
      <c r="AN9" s="3479" t="str">
        <f>IF(T9="","",T9)</f>
        <v>Добавить значение признака дифференциации</v>
      </c>
      <c r="AQ9" s="3432">
        <v>0</v>
      </c>
    </row>
    <row customHeight="1" ht="21" hidden="1">
      <c r="E10" s="3824"/>
      <c r="F10" s="3824"/>
      <c r="G10" s="3824"/>
      <c r="H10" s="3824"/>
      <c r="I10" s="3711"/>
      <c r="R10" s="3831"/>
      <c r="S10" s="844"/>
      <c r="T10" s="851" t="s">
        <v>427</v>
      </c>
      <c r="U10" s="200"/>
      <c r="V10" s="200"/>
      <c r="W10" s="200"/>
      <c r="X10" s="200"/>
      <c r="Y10" s="200"/>
      <c r="Z10" s="200"/>
      <c r="AA10" s="200"/>
      <c r="AB10" s="849"/>
      <c r="AC10" s="200"/>
      <c r="AD10" s="200"/>
      <c r="AE10" s="200"/>
      <c r="AF10" s="200"/>
      <c r="AG10" s="200"/>
      <c r="AH10" s="200"/>
      <c r="AI10" s="849"/>
      <c r="AJ10" s="200"/>
      <c r="AK10" s="1036"/>
      <c r="AN10" s="3479" t="str">
        <f>IF(T10="","",T10)</f>
        <v>Добавить группу потребителей</v>
      </c>
      <c r="AQ10" s="3432">
        <v>0</v>
      </c>
    </row>
    <row customHeight="1" ht="21" hidden="1">
      <c r="E11" s="3824"/>
      <c r="F11" s="3824"/>
      <c r="G11" s="3824"/>
      <c r="H11" s="3817"/>
      <c r="R11" s="816"/>
      <c r="S11" s="844"/>
      <c r="T11" s="994" t="s">
        <v>503</v>
      </c>
      <c r="U11" s="200"/>
      <c r="V11" s="200"/>
      <c r="W11" s="200"/>
      <c r="X11" s="200"/>
      <c r="Y11" s="200"/>
      <c r="Z11" s="200"/>
      <c r="AA11" s="200"/>
      <c r="AB11" s="849"/>
      <c r="AC11" s="200"/>
      <c r="AD11" s="200"/>
      <c r="AE11" s="200"/>
      <c r="AF11" s="200"/>
      <c r="AG11" s="200"/>
      <c r="AH11" s="200"/>
      <c r="AI11" s="849"/>
      <c r="AJ11" s="200"/>
      <c r="AK11" s="850"/>
      <c r="AN11" s="3479" t="str">
        <f>IF(T11="","",T11)</f>
        <v>Добавить наименование признака дифференциации</v>
      </c>
      <c r="AQ11" s="3432">
        <v>0</v>
      </c>
    </row>
    <row customHeight="1" ht="14.25" hidden="1">
      <c r="E12" s="3824"/>
      <c r="F12" s="3817"/>
      <c r="T12" s="856" t="s">
        <v>430</v>
      </c>
      <c r="AN12" s="3479" t="str">
        <f>IF(T12="","",T12)</f>
        <v>Добавить централизованную систему для дифференциации</v>
      </c>
      <c r="AQ12" s="3473">
        <v>0</v>
      </c>
    </row>
    <row customHeight="1" ht="14.25" hidden="1">
      <c r="E13" s="3817"/>
      <c r="T13" s="856" t="s">
        <v>431</v>
      </c>
      <c r="AN13" s="3479" t="str">
        <f>IF(T13="","",T13)</f>
        <v>Добавить территорию для дифференциации</v>
      </c>
      <c r="AQ13" s="3473">
        <v>0</v>
      </c>
    </row>
    <row customHeight="1" ht="14.25" hidden="1">
      <c r="AQ14" s="3432">
        <v>0</v>
      </c>
    </row>
    <row customHeight="1" ht="14.25" hidden="1">
      <c r="AC15" s="719"/>
      <c r="AD15" s="719"/>
      <c r="AE15" s="857"/>
      <c r="AF15" s="858"/>
      <c r="AG15" s="616" t="s">
        <v>61</v>
      </c>
      <c r="AH15" s="858"/>
      <c r="AI15" s="616" t="s">
        <v>61</v>
      </c>
      <c r="AQ15" s="3432">
        <v>0</v>
      </c>
    </row>
    <row customHeight="1" ht="14.25" hidden="1">
      <c r="AC16" s="719"/>
      <c r="AD16" s="719"/>
      <c r="AE16" s="842" t="str">
        <f>AF15&amp;"-"&amp;AH15</f>
        <v>-</v>
      </c>
      <c r="AF16" s="616"/>
      <c r="AG16" s="616"/>
      <c r="AH16" s="616"/>
      <c r="AI16" s="616"/>
      <c r="AQ16" s="3432">
        <v>0</v>
      </c>
    </row>
    <row customHeight="1" ht="14.25" hidden="1">
      <c r="AQ17" s="3432">
        <v>0</v>
      </c>
    </row>
    <row customHeight="1" ht="22.5" hidden="1">
      <c r="O18" s="859" t="s">
        <v>432</v>
      </c>
      <c r="Y18" s="859"/>
      <c r="AA18" s="859"/>
      <c r="AF18" s="859"/>
      <c r="AH18" s="859"/>
      <c r="AQ18" s="3449">
        <v>0</v>
      </c>
    </row>
    <row customHeight="1" ht="14.25" hidden="1">
      <c r="AQ19" s="3449">
        <v>0</v>
      </c>
    </row>
    <row customHeight="1" ht="12" hidden="1">
      <c r="O20" s="3830" t="s">
        <v>433</v>
      </c>
      <c r="T20" s="3449" t="s">
        <v>434</v>
      </c>
      <c r="Z20" s="3511" t="s">
        <v>435</v>
      </c>
      <c r="AB20" s="3511" t="s">
        <v>436</v>
      </c>
      <c r="AC20" s="3449" t="s">
        <v>434</v>
      </c>
      <c r="AG20" s="3511" t="s">
        <v>437</v>
      </c>
      <c r="AI20" s="3511" t="s">
        <v>436</v>
      </c>
      <c r="AQ20" s="3449">
        <v>0</v>
      </c>
    </row>
    <row customHeight="1" ht="14.25" hidden="1">
      <c r="AQ21" s="3432">
        <v>0</v>
      </c>
    </row>
    <row customHeight="1" ht="14.25" hidden="1">
      <c r="AQ22" s="3432">
        <v>0</v>
      </c>
    </row>
    <row customHeight="1" ht="14.699999999999998">
      <c r="Q23" s="3719"/>
      <c r="R23" s="3719"/>
      <c r="S23" s="3842"/>
      <c r="T23" s="3450"/>
      <c r="U23" s="3450"/>
      <c r="AQ23" s="3432">
        <v>14</v>
      </c>
    </row>
    <row customHeight="1" ht="14.699999999999998">
      <c r="Q24" s="3719"/>
      <c r="R24" s="3719"/>
      <c r="S24" s="3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46"/>
      <c r="U24" s="3646"/>
      <c r="V24" s="3646"/>
      <c r="W24" s="3646"/>
      <c r="X24" s="3646"/>
      <c r="Y24" s="3646"/>
      <c r="Z24" s="3646"/>
      <c r="AA24" s="3646"/>
      <c r="AB24" s="3646"/>
      <c r="AC24" s="3646"/>
      <c r="AD24" s="3646"/>
      <c r="AE24" s="3646"/>
      <c r="AF24" s="3646"/>
      <c r="AG24" s="3646"/>
      <c r="AH24" s="3646"/>
      <c r="AQ24" s="3432">
        <v>14</v>
      </c>
    </row>
    <row customHeight="1" ht="14.699999999999998">
      <c r="Q25" s="3719"/>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Q25" s="3432">
        <v>14</v>
      </c>
    </row>
    <row customHeight="1" ht="14.25" hidden="1">
      <c r="Q26" s="3719"/>
      <c r="R26" s="3719"/>
      <c r="S26" s="3842"/>
      <c r="T26" s="3450"/>
      <c r="U26" s="3450"/>
      <c r="V26" s="3804"/>
      <c r="W26" s="3804"/>
      <c r="X26" s="3804"/>
      <c r="Y26" s="3804"/>
      <c r="Z26" s="3804"/>
      <c r="AA26" s="3804"/>
      <c r="AB26" s="3804"/>
      <c r="AC26" s="3804"/>
      <c r="AD26" s="3804"/>
      <c r="AE26" s="3804"/>
      <c r="AF26" s="3804"/>
      <c r="AG26" s="3804"/>
      <c r="AH26" s="3804"/>
      <c r="AI26" s="3804"/>
      <c r="AQ26" s="3432">
        <v>0</v>
      </c>
    </row>
    <row customHeight="1" ht="25.5" hidden="1">
      <c r="S27" s="3843" t="s">
        <v>41</v>
      </c>
      <c r="T27" s="3843"/>
      <c r="U27" s="3844"/>
      <c r="V27" s="3806" t="str">
        <f>IF(TITLE_NAME_OR_PR_CHANGE="",IF(TITLE_NAME_OR_PR="","",TITLE_NAME_OR_PR),TITLE_NAME_OR_PR_CHANGE)</f>
        <v/>
      </c>
      <c r="W27" s="3806"/>
      <c r="X27" s="3806"/>
      <c r="Y27" s="3806"/>
      <c r="Z27" s="3806"/>
      <c r="AA27" s="3806"/>
      <c r="AC27" s="3806" t="str">
        <f>IF(TITLE_NAME_OR_PR_CHANGE="",IF(TITLE_NAME_OR_PR="","",TITLE_NAME_OR_PR),TITLE_NAME_OR_PR_CHANGE)</f>
        <v/>
      </c>
      <c r="AD27" s="3806"/>
      <c r="AE27" s="3806"/>
      <c r="AF27" s="3806"/>
      <c r="AG27" s="3806"/>
      <c r="AH27" s="3806"/>
      <c r="AQ27" s="3489">
        <v>0</v>
      </c>
    </row>
    <row customHeight="1" ht="18.75" hidden="1">
      <c r="S28" s="3843" t="s">
        <v>438</v>
      </c>
      <c r="T28" s="3843"/>
      <c r="U28" s="3844"/>
      <c r="V28" s="795" t="str">
        <f>IF(TITLE_DATE_PR_CHANGE="",IF(TITLE_DATE_PR="","",TITLE_DATE_PR),TITLE_DATE_PR_CHANGE)</f>
        <v/>
      </c>
      <c r="W28" s="795"/>
      <c r="X28" s="795"/>
      <c r="Y28" s="795"/>
      <c r="Z28" s="795"/>
      <c r="AA28" s="795"/>
      <c r="AC28" s="795" t="str">
        <f>IF(TITLE_DATE_PR_CHANGE="",IF(TITLE_DATE_PR="","",TITLE_DATE_PR),TITLE_DATE_PR_CHANGE)</f>
        <v/>
      </c>
      <c r="AD28" s="795"/>
      <c r="AE28" s="795"/>
      <c r="AF28" s="795"/>
      <c r="AG28" s="795"/>
      <c r="AH28" s="795"/>
      <c r="AQ28" s="3489">
        <v>0</v>
      </c>
    </row>
    <row customHeight="1" ht="18.75" hidden="1">
      <c r="S29" s="3843" t="s">
        <v>439</v>
      </c>
      <c r="T29" s="3843"/>
      <c r="U29" s="3844"/>
      <c r="V29" s="3806" t="str">
        <f>IF(TITLE_NUMBER_PR_CHANGE="",IF(TITLE_NUMBER_PR="","",TITLE_NUMBER_PR),TITLE_NUMBER_PR_CHANGE)</f>
        <v/>
      </c>
      <c r="W29" s="3806"/>
      <c r="X29" s="3806"/>
      <c r="Y29" s="3806"/>
      <c r="Z29" s="3806"/>
      <c r="AA29" s="3806"/>
      <c r="AC29" s="3806" t="str">
        <f>IF(TITLE_NUMBER_PR_CHANGE="",IF(TITLE_NUMBER_PR="","",TITLE_NUMBER_PR),TITLE_NUMBER_PR_CHANGE)</f>
        <v/>
      </c>
      <c r="AD29" s="3806"/>
      <c r="AE29" s="3806"/>
      <c r="AF29" s="3806"/>
      <c r="AG29" s="3806"/>
      <c r="AH29" s="3806"/>
      <c r="AQ29" s="3489">
        <v>0</v>
      </c>
    </row>
    <row customHeight="1" ht="18.75" hidden="1">
      <c r="S30" s="3843" t="s">
        <v>42</v>
      </c>
      <c r="T30" s="3843"/>
      <c r="U30" s="3844"/>
      <c r="V30" s="3806" t="str">
        <f>IF(TITLE_IST_PUB_CHANGE="",IF(TITLE_IST_PUB="","",TITLE_IST_PUB),TITLE_IST_PUB_CHANGE)</f>
        <v/>
      </c>
      <c r="W30" s="3806"/>
      <c r="X30" s="3806"/>
      <c r="Y30" s="3806"/>
      <c r="Z30" s="3806"/>
      <c r="AA30" s="3806"/>
      <c r="AC30" s="3806" t="str">
        <f>IF(TITLE_IST_PUB_CHANGE="",IF(TITLE_IST_PUB="","",TITLE_IST_PUB),TITLE_IST_PUB_CHANGE)</f>
        <v/>
      </c>
      <c r="AD30" s="3806"/>
      <c r="AE30" s="3806"/>
      <c r="AF30" s="3806"/>
      <c r="AG30" s="3806"/>
      <c r="AH30" s="3806"/>
      <c r="AQ30" s="3489">
        <v>0</v>
      </c>
    </row>
    <row customHeight="1" ht="14.25" hidden="1">
      <c r="Q31" s="3719"/>
      <c r="R31" s="3719"/>
      <c r="S31" s="3842"/>
      <c r="T31" s="3450"/>
      <c r="U31" s="3450"/>
      <c r="V31" s="3804"/>
      <c r="W31" s="3804"/>
      <c r="X31" s="3804"/>
      <c r="Y31" s="3804"/>
      <c r="Z31" s="3804"/>
      <c r="AA31" s="3804"/>
      <c r="AB31" s="3804"/>
      <c r="AC31" s="3804"/>
      <c r="AD31" s="3804"/>
      <c r="AE31" s="3804"/>
      <c r="AF31" s="3804"/>
      <c r="AG31" s="3804"/>
      <c r="AH31" s="3804"/>
      <c r="AI31" s="3804"/>
      <c r="AQ31" s="3432">
        <v>0</v>
      </c>
    </row>
    <row customHeight="1" ht="18.75" hidden="1">
      <c r="S32" s="3843" t="s">
        <v>440</v>
      </c>
      <c r="T32" s="3843"/>
      <c r="U32" s="3844"/>
      <c r="V32" s="795" t="str">
        <f>IF(TITLE_DATE_PR_CHANGE="",IF(TITLE_DATE_PR="","",TITLE_DATE_PR),TITLE_DATE_PR_CHANGE)</f>
        <v/>
      </c>
      <c r="W32" s="795"/>
      <c r="X32" s="795"/>
      <c r="Y32" s="795"/>
      <c r="Z32" s="795"/>
      <c r="AA32" s="795"/>
      <c r="AC32" s="795" t="str">
        <f>IF(TITLE_DATE_PR_CHANGE="",IF(TITLE_DATE_PR="","",TITLE_DATE_PR),TITLE_DATE_PR_CHANGE)</f>
        <v/>
      </c>
      <c r="AD32" s="795"/>
      <c r="AE32" s="795"/>
      <c r="AF32" s="795"/>
      <c r="AG32" s="795"/>
      <c r="AH32" s="795"/>
      <c r="AQ32" s="3489">
        <v>0</v>
      </c>
    </row>
    <row customHeight="1" ht="18.75" hidden="1">
      <c r="S33" s="3843" t="s">
        <v>441</v>
      </c>
      <c r="T33" s="3843"/>
      <c r="U33" s="3844"/>
      <c r="V33" s="3806" t="str">
        <f>IF(TITLE_NUMBER_PR_CHANGE="",IF(TITLE_NUMBER_PR="","",TITLE_NUMBER_PR),TITLE_NUMBER_PR_CHANGE)</f>
        <v/>
      </c>
      <c r="W33" s="3806"/>
      <c r="X33" s="3806"/>
      <c r="Y33" s="3806"/>
      <c r="Z33" s="3806"/>
      <c r="AA33" s="3806"/>
      <c r="AC33" s="3806" t="str">
        <f>IF(TITLE_NUMBER_PR_CHANGE="",IF(TITLE_NUMBER_PR="","",TITLE_NUMBER_PR),TITLE_NUMBER_PR_CHANGE)</f>
        <v/>
      </c>
      <c r="AD33" s="3806"/>
      <c r="AE33" s="3806"/>
      <c r="AF33" s="3806"/>
      <c r="AG33" s="3806"/>
      <c r="AH33" s="3806"/>
      <c r="AQ33" s="3489">
        <v>0</v>
      </c>
    </row>
    <row customHeight="1" ht="1.05">
      <c r="AB34" s="3473" t="s">
        <v>442</v>
      </c>
      <c r="AI34" s="3473" t="s">
        <v>442</v>
      </c>
      <c r="AQ34" s="3489">
        <v>1</v>
      </c>
    </row>
    <row customHeight="1" ht="14.699999999999998">
      <c r="Q35" s="3719"/>
      <c r="R35" s="3719"/>
      <c r="S35" s="3842"/>
      <c r="T35" s="3450"/>
      <c r="U35" s="3845"/>
      <c r="V35" s="3846"/>
      <c r="W35" s="3846"/>
      <c r="X35" s="3846"/>
      <c r="Y35" s="3846"/>
      <c r="Z35" s="3846"/>
      <c r="AA35" s="3846"/>
      <c r="AB35" s="3846"/>
      <c r="AC35" s="3846"/>
      <c r="AD35" s="3846"/>
      <c r="AE35" s="3846"/>
      <c r="AF35" s="3846"/>
      <c r="AG35" s="3846"/>
      <c r="AH35" s="3846"/>
      <c r="AI35" s="3846"/>
      <c r="AQ35" s="3432">
        <v>14</v>
      </c>
    </row>
    <row customHeight="1" ht="14.699999999999998">
      <c r="Q36" s="3719"/>
      <c r="R36" s="3719"/>
      <c r="S36" s="3480" t="s">
        <v>315</v>
      </c>
      <c r="T36" s="3480"/>
      <c r="U36" s="3480"/>
      <c r="V36" s="3480"/>
      <c r="W36" s="3480"/>
      <c r="X36" s="3480"/>
      <c r="Y36" s="3480"/>
      <c r="Z36" s="3480"/>
      <c r="AA36" s="3480"/>
      <c r="AB36" s="3480"/>
      <c r="AC36" s="3480"/>
      <c r="AD36" s="3480"/>
      <c r="AE36" s="3480"/>
      <c r="AF36" s="3480"/>
      <c r="AG36" s="3480"/>
      <c r="AH36" s="3480"/>
      <c r="AI36" s="3480"/>
      <c r="AJ36" s="3480"/>
      <c r="AK36" s="3480" t="s">
        <v>316</v>
      </c>
      <c r="AQ36" s="3432">
        <v>14</v>
      </c>
    </row>
    <row customHeight="1" ht="14.699999999999998">
      <c r="Q37" s="3719"/>
      <c r="R37" s="3719"/>
      <c r="S37" s="3818" t="s">
        <v>86</v>
      </c>
      <c r="T37" s="3579" t="s">
        <v>443</v>
      </c>
      <c r="U37" s="3793"/>
      <c r="V37" s="3847" t="s">
        <v>444</v>
      </c>
      <c r="W37" s="3848"/>
      <c r="X37" s="3848"/>
      <c r="Y37" s="3848"/>
      <c r="Z37" s="3848"/>
      <c r="AA37" s="3849"/>
      <c r="AB37" s="3807" t="s">
        <v>445</v>
      </c>
      <c r="AC37" s="3847" t="s">
        <v>444</v>
      </c>
      <c r="AD37" s="3848"/>
      <c r="AE37" s="3848"/>
      <c r="AF37" s="3848"/>
      <c r="AG37" s="3848"/>
      <c r="AH37" s="3849"/>
      <c r="AI37" s="3807" t="s">
        <v>446</v>
      </c>
      <c r="AJ37" s="868" t="s">
        <v>447</v>
      </c>
      <c r="AK37" s="3480"/>
      <c r="AQ37" s="3432">
        <v>14</v>
      </c>
    </row>
    <row customHeight="1" ht="35.699999999999996">
      <c r="Q38" s="3719"/>
      <c r="R38" s="3719"/>
      <c r="S38" s="3818"/>
      <c r="T38" s="3579"/>
      <c r="U38" s="3798"/>
      <c r="V38" s="3558" t="s">
        <v>504</v>
      </c>
      <c r="W38" s="3437" t="s">
        <v>450</v>
      </c>
      <c r="X38" s="3436"/>
      <c r="Y38" s="3437" t="s">
        <v>451</v>
      </c>
      <c r="Z38" s="3477"/>
      <c r="AA38" s="3436"/>
      <c r="AB38" s="3851"/>
      <c r="AC38" s="3558" t="s">
        <v>504</v>
      </c>
      <c r="AD38" s="3437" t="s">
        <v>450</v>
      </c>
      <c r="AE38" s="3436"/>
      <c r="AF38" s="3437" t="s">
        <v>451</v>
      </c>
      <c r="AG38" s="3477"/>
      <c r="AH38" s="3436"/>
      <c r="AI38" s="3851"/>
      <c r="AJ38" s="871"/>
      <c r="AK38" s="3480"/>
      <c r="AQ38" s="3432">
        <v>34</v>
      </c>
    </row>
    <row customHeight="1" ht="35.699999999999996">
      <c r="B39" s="3511" t="s">
        <v>153</v>
      </c>
      <c r="C39" s="3511" t="s">
        <v>154</v>
      </c>
      <c r="D39" s="3511" t="s">
        <v>155</v>
      </c>
      <c r="E39" s="3830" t="s">
        <v>452</v>
      </c>
      <c r="F39" s="3830" t="s">
        <v>453</v>
      </c>
      <c r="G39" s="3830" t="s">
        <v>454</v>
      </c>
      <c r="I39" s="3830" t="s">
        <v>505</v>
      </c>
      <c r="J39" s="3830" t="s">
        <v>457</v>
      </c>
      <c r="K39" s="3830" t="s">
        <v>506</v>
      </c>
      <c r="L39" s="3830" t="s">
        <v>433</v>
      </c>
      <c r="Q39" s="3719"/>
      <c r="R39" s="3719"/>
      <c r="S39" s="3818"/>
      <c r="T39" s="3579"/>
      <c r="U39" s="3852"/>
      <c r="V39" s="3558" t="s">
        <v>507</v>
      </c>
      <c r="W39" s="3525" t="s">
        <v>508</v>
      </c>
      <c r="X39" s="3525" t="s">
        <v>509</v>
      </c>
      <c r="Y39" s="3525" t="s">
        <v>461</v>
      </c>
      <c r="Z39" s="3626" t="s">
        <v>462</v>
      </c>
      <c r="AA39" s="3628"/>
      <c r="AB39" s="3810"/>
      <c r="AC39" s="3558" t="s">
        <v>507</v>
      </c>
      <c r="AD39" s="3525" t="s">
        <v>508</v>
      </c>
      <c r="AE39" s="3525" t="s">
        <v>509</v>
      </c>
      <c r="AF39" s="3525" t="s">
        <v>461</v>
      </c>
      <c r="AG39" s="3626" t="s">
        <v>462</v>
      </c>
      <c r="AH39" s="3628"/>
      <c r="AI39" s="3810"/>
      <c r="AJ39" s="873"/>
      <c r="AK39" s="3480"/>
      <c r="AQ39" s="3432">
        <v>34</v>
      </c>
    </row>
    <row customHeight="1" ht="0">
      <c r="Q40" s="3853"/>
      <c r="R40" s="3854">
        <v>1</v>
      </c>
      <c r="S40" s="876" t="s">
        <v>107</v>
      </c>
      <c r="T40" s="877" t="s">
        <v>108</v>
      </c>
      <c r="U40" s="3855" t="str">
        <f>OFFSET(U40,0,-1)</f>
        <v>2</v>
      </c>
      <c r="V40" s="3856">
        <f>OFFSET(V40,0,-1)+1</f>
        <v>3</v>
      </c>
      <c r="W40" s="3856">
        <f>OFFSET(W40,0,-1)+1</f>
        <v>4</v>
      </c>
      <c r="X40" s="3856">
        <f>OFFSET(X40,0,-1)+1</f>
        <v>5</v>
      </c>
      <c r="Y40" s="3856">
        <f>OFFSET(Y40,0,-1)+1</f>
        <v>6</v>
      </c>
      <c r="Z40" s="3856">
        <f>OFFSET(Z40,0,-1)+1</f>
        <v>7</v>
      </c>
      <c r="AA40" s="3856"/>
      <c r="AB40" s="3856">
        <f>OFFSET(AB40,0,-2)+1</f>
        <v>8</v>
      </c>
      <c r="AC40" s="3856">
        <f>OFFSET(AC40,0,-1)+1</f>
        <v>9</v>
      </c>
      <c r="AD40" s="3856">
        <f>OFFSET(AD40,0,-1)+1</f>
        <v>10</v>
      </c>
      <c r="AE40" s="3856">
        <f>OFFSET(AE40,0,-1)+1</f>
        <v>11</v>
      </c>
      <c r="AF40" s="3856">
        <f>OFFSET(AF40,0,-1)+1</f>
        <v>12</v>
      </c>
      <c r="AG40" s="3856">
        <f>OFFSET(AG40,0,-1)+1</f>
        <v>13</v>
      </c>
      <c r="AH40" s="3856"/>
      <c r="AI40" s="3856">
        <f>OFFSET(AI40,0,-2)+1</f>
        <v>14</v>
      </c>
      <c r="AJ40" s="3855">
        <f>OFFSET(AJ40,0,-1)</f>
        <v>14</v>
      </c>
      <c r="AK40" s="3856">
        <f>OFFSET(AK40,0,-1)+1</f>
        <v>15</v>
      </c>
      <c r="AQ40" s="3637">
        <v>0</v>
      </c>
    </row>
    <row customHeight="1" ht="24">
      <c r="A41" s="3857" t="s">
        <v>251</v>
      </c>
      <c r="E41" s="3817">
        <v>1</v>
      </c>
      <c r="R41" s="816"/>
      <c r="S41" s="3818">
        <f>INDEX(PT_DIFFERENTIATION_NUM_NTAR,MATCH(A41,PT_DIFFERENTIATION_NTAR_ID,0))</f>
        <v>0</v>
      </c>
      <c r="T41" s="3764" t="s">
        <v>141</v>
      </c>
      <c r="U41" s="3819"/>
      <c r="V41" s="3820"/>
      <c r="W41" s="3821"/>
      <c r="X41" s="3821"/>
      <c r="Y41" s="3821"/>
      <c r="Z41" s="3821"/>
      <c r="AA41" s="3821"/>
      <c r="AB41" s="3822"/>
      <c r="AC41" s="3820" t="str">
        <f>INDEX(PT_DIFFERENTIATION_NTAR,MATCH(A41,PT_DIFFERENTIATION_NTAR_ID,0))</f>
        <v/>
      </c>
      <c r="AD41" s="3821"/>
      <c r="AE41" s="3821"/>
      <c r="AF41" s="3821"/>
      <c r="AG41" s="3821"/>
      <c r="AH41" s="3821"/>
      <c r="AI41" s="3821"/>
      <c r="AJ41" s="3822"/>
      <c r="AK41"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3479" t="str">
        <f>IF(T41="","",T41)</f>
        <v>Наименование тарифа</v>
      </c>
      <c r="AQ41" s="3432">
        <v>23</v>
      </c>
    </row>
    <row customHeight="1" ht="24">
      <c r="A42" s="3857" t="s">
        <v>251</v>
      </c>
      <c r="B42" s="3857" t="s">
        <v>252</v>
      </c>
      <c r="E42" s="3824"/>
      <c r="F42" s="3817">
        <v>1</v>
      </c>
      <c r="Q42" s="3825"/>
      <c r="R42" s="3826"/>
      <c r="S42" s="3818" t="str">
        <f>INDEX(PT_DIFFERENTIATION_NUM_TER,MATCH(B42,PT_DIFFERENTIATION_TER_ID,0))</f>
        <v>.</v>
      </c>
      <c r="T42" s="3827" t="s">
        <v>412</v>
      </c>
      <c r="U42" s="3819"/>
      <c r="V42" s="3820"/>
      <c r="W42" s="3821"/>
      <c r="X42" s="3821"/>
      <c r="Y42" s="3821"/>
      <c r="Z42" s="3821"/>
      <c r="AA42" s="3821"/>
      <c r="AB42" s="3822"/>
      <c r="AC42" s="3820" t="str">
        <f>INDEX(PT_DIFFERENTIATION_TER,MATCH(B42,PT_DIFFERENTIATION_TER_ID,0))</f>
        <v/>
      </c>
      <c r="AD42" s="3821"/>
      <c r="AE42" s="3821"/>
      <c r="AF42" s="3821"/>
      <c r="AG42" s="3821"/>
      <c r="AH42" s="3821"/>
      <c r="AI42" s="3821"/>
      <c r="AJ42" s="3822"/>
      <c r="AK42" s="3823" t="s">
        <v>413</v>
      </c>
      <c r="AN42" s="3479" t="str">
        <f>IF(T42="","",T42)</f>
        <v>Территория действия тарифа</v>
      </c>
      <c r="AQ42" s="3432">
        <v>23</v>
      </c>
    </row>
    <row customHeight="1" ht="24">
      <c r="A43" s="3857" t="s">
        <v>251</v>
      </c>
      <c r="B43" s="3857" t="s">
        <v>252</v>
      </c>
      <c r="C43" s="3857" t="s">
        <v>253</v>
      </c>
      <c r="E43" s="3824"/>
      <c r="F43" s="3824"/>
      <c r="G43" s="3817">
        <v>1</v>
      </c>
      <c r="Q43" s="3825"/>
      <c r="R43" s="3826"/>
      <c r="S43" s="3818" t="str">
        <f>INDEX(PT_DIFFERENTIATION_NUM_CS,MATCH(C43,PT_DIFFERENTIATION_CS_ID,0))</f>
        <v>..</v>
      </c>
      <c r="T43" s="3828" t="s">
        <v>496</v>
      </c>
      <c r="U43" s="3819"/>
      <c r="V43" s="3820"/>
      <c r="W43" s="3821"/>
      <c r="X43" s="3821"/>
      <c r="Y43" s="3821"/>
      <c r="Z43" s="3821"/>
      <c r="AA43" s="3821"/>
      <c r="AB43" s="3822"/>
      <c r="AC43" s="3820" t="str">
        <f>INDEX(PT_DIFFERENTIATION_CS,MATCH(C43,PT_DIFFERENTIATION_CS_ID,0))</f>
        <v/>
      </c>
      <c r="AD43" s="3821"/>
      <c r="AE43" s="3821"/>
      <c r="AF43" s="3821"/>
      <c r="AG43" s="3821"/>
      <c r="AH43" s="3821"/>
      <c r="AI43" s="3821"/>
      <c r="AJ43" s="3822"/>
      <c r="AK43" s="3823" t="s">
        <v>497</v>
      </c>
      <c r="AN43" s="3479" t="str">
        <f>IF(T43="","",T43)</f>
        <v>Наименование централизованной системы холодного водоснабжения</v>
      </c>
      <c r="AQ43" s="3432">
        <v>23</v>
      </c>
    </row>
    <row customHeight="1" ht="24">
      <c r="A44" s="3857" t="s">
        <v>251</v>
      </c>
      <c r="B44" s="3857" t="s">
        <v>252</v>
      </c>
      <c r="C44" s="3857" t="s">
        <v>253</v>
      </c>
      <c r="D44" s="3857" t="s">
        <v>512</v>
      </c>
      <c r="E44" s="3824"/>
      <c r="F44" s="3824"/>
      <c r="G44" s="3824"/>
      <c r="H44" s="3824"/>
      <c r="I44" s="3711" t="str">
        <f>S43&amp;".1"</f>
        <v>...1</v>
      </c>
      <c r="P44" s="3471">
        <v>1</v>
      </c>
      <c r="R44" s="3831"/>
      <c r="S44" s="3818" t="str">
        <f>$I44</f>
        <v>...1</v>
      </c>
      <c r="T44" s="3832" t="s">
        <v>498</v>
      </c>
      <c r="U44" s="3819"/>
      <c r="V44" s="3938"/>
      <c r="W44" s="3939"/>
      <c r="X44" s="3939"/>
      <c r="Y44" s="3939"/>
      <c r="Z44" s="3939"/>
      <c r="AA44" s="3939"/>
      <c r="AB44" s="3940"/>
      <c r="AC44" s="1018"/>
      <c r="AD44" s="1031"/>
      <c r="AE44" s="1031"/>
      <c r="AF44" s="1031"/>
      <c r="AG44" s="1031"/>
      <c r="AH44" s="1031"/>
      <c r="AI44" s="1031"/>
      <c r="AJ44" s="1032"/>
      <c r="AK44" s="3823" t="s">
        <v>499</v>
      </c>
      <c r="AN44" s="3479" t="str">
        <f>IF(T44="","",T44)</f>
        <v>Наименование признака дифференциации</v>
      </c>
      <c r="AQ44" s="3432">
        <v>23</v>
      </c>
    </row>
    <row customHeight="1" ht="24">
      <c r="A45" s="3857" t="s">
        <v>251</v>
      </c>
      <c r="B45" s="3857" t="s">
        <v>252</v>
      </c>
      <c r="C45" s="3857" t="s">
        <v>253</v>
      </c>
      <c r="D45" s="3857" t="s">
        <v>512</v>
      </c>
      <c r="E45" s="3824"/>
      <c r="F45" s="3824"/>
      <c r="G45" s="3824"/>
      <c r="H45" s="3824"/>
      <c r="I45" s="3835"/>
      <c r="J45" s="3711" t="str">
        <f>I44&amp;".1"</f>
        <v>...1.1</v>
      </c>
      <c r="L45" s="3830" t="s">
        <v>421</v>
      </c>
      <c r="Q45" s="3471">
        <v>1</v>
      </c>
      <c r="R45" s="3836"/>
      <c r="S45" s="3818" t="str">
        <f>$J45</f>
        <v>...1.1</v>
      </c>
      <c r="T45" s="3837" t="s">
        <v>422</v>
      </c>
      <c r="U45" s="3819"/>
      <c r="V45" s="3638"/>
      <c r="W45" s="3833"/>
      <c r="X45" s="3833"/>
      <c r="Y45" s="3833"/>
      <c r="Z45" s="3833"/>
      <c r="AA45" s="3833"/>
      <c r="AB45" s="3834"/>
      <c r="AC45" s="3638"/>
      <c r="AD45" s="3833"/>
      <c r="AE45" s="3833"/>
      <c r="AF45" s="3833"/>
      <c r="AG45" s="3833"/>
      <c r="AH45" s="3833"/>
      <c r="AI45" s="3833"/>
      <c r="AJ45" s="3834"/>
      <c r="AK45" s="3883" t="s">
        <v>500</v>
      </c>
      <c r="AN45" s="3479" t="str">
        <f>IF(T45="","",T45)</f>
        <v>Группа потребителей</v>
      </c>
      <c r="AQ45" s="3432">
        <v>23</v>
      </c>
    </row>
    <row customHeight="1" ht="24">
      <c r="A46" s="3857" t="s">
        <v>251</v>
      </c>
      <c r="B46" s="3857" t="s">
        <v>252</v>
      </c>
      <c r="C46" s="3857" t="s">
        <v>253</v>
      </c>
      <c r="D46" s="3857" t="s">
        <v>512</v>
      </c>
      <c r="E46" s="3824"/>
      <c r="F46" s="3824"/>
      <c r="G46" s="3824"/>
      <c r="H46" s="3824"/>
      <c r="I46" s="3835"/>
      <c r="J46" s="3835"/>
      <c r="K46" s="3711" t="str">
        <f>J45&amp;".1"</f>
        <v>...1.1.1</v>
      </c>
      <c r="R46" s="3836">
        <v>1</v>
      </c>
      <c r="S46" s="3818" t="str">
        <f>$K46</f>
        <v>...1.1.1</v>
      </c>
      <c r="T46" s="1033"/>
      <c r="U46" s="3819"/>
      <c r="V46" s="838"/>
      <c r="W46" s="838"/>
      <c r="X46" s="840"/>
      <c r="Y46" s="572"/>
      <c r="Z46" s="210" t="s">
        <v>61</v>
      </c>
      <c r="AA46" s="572"/>
      <c r="AB46" s="210" t="s">
        <v>61</v>
      </c>
      <c r="AC46" s="838"/>
      <c r="AD46" s="838"/>
      <c r="AE46" s="840"/>
      <c r="AF46" s="572"/>
      <c r="AG46" s="210" t="s">
        <v>61</v>
      </c>
      <c r="AH46" s="881"/>
      <c r="AI46" s="210" t="s">
        <v>61</v>
      </c>
      <c r="AJ46" s="1034"/>
      <c r="AK46"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473">
        <f>STRCHECKDATE(V47:AJ47)</f>
      </c>
      <c r="AN46" s="3479" t="str">
        <f>IF(T46="","",T46)</f>
        <v/>
      </c>
      <c r="AQ46" s="3432">
        <v>23</v>
      </c>
    </row>
    <row customHeight="1" ht="0">
      <c r="A47" s="3857" t="s">
        <v>251</v>
      </c>
      <c r="B47" s="3857" t="s">
        <v>252</v>
      </c>
      <c r="C47" s="3857" t="s">
        <v>253</v>
      </c>
      <c r="D47" s="3857" t="s">
        <v>512</v>
      </c>
      <c r="E47" s="3824"/>
      <c r="F47" s="3824"/>
      <c r="G47" s="3824"/>
      <c r="H47" s="3824"/>
      <c r="I47" s="3835"/>
      <c r="J47" s="3835"/>
      <c r="K47" s="3711"/>
      <c r="R47" s="3836"/>
      <c r="S47" s="421"/>
      <c r="T47" s="3819"/>
      <c r="U47" s="3819"/>
      <c r="V47" s="839"/>
      <c r="W47" s="839"/>
      <c r="X47" s="842" t="str">
        <f>Y46&amp;"-"&amp;AA46</f>
        <v>-</v>
      </c>
      <c r="Y47" s="573"/>
      <c r="Z47" s="210"/>
      <c r="AA47" s="573"/>
      <c r="AB47" s="210"/>
      <c r="AC47" s="839"/>
      <c r="AD47" s="839"/>
      <c r="AE47" s="842" t="str">
        <f>AF46&amp;"-"&amp;AH46</f>
        <v>-</v>
      </c>
      <c r="AF47" s="573"/>
      <c r="AG47" s="210"/>
      <c r="AH47" s="883"/>
      <c r="AI47" s="210"/>
      <c r="AJ47" s="1015"/>
      <c r="AK47" s="3941"/>
      <c r="AN47" s="3479" t="str">
        <f>IF(T47="","",T47)</f>
        <v/>
      </c>
      <c r="AQ47" s="3432">
        <v>0</v>
      </c>
    </row>
    <row customHeight="1" ht="21">
      <c r="A48" s="3857" t="s">
        <v>251</v>
      </c>
      <c r="B48" s="3857" t="s">
        <v>252</v>
      </c>
      <c r="C48" s="3857" t="s">
        <v>253</v>
      </c>
      <c r="D48" s="3857" t="s">
        <v>512</v>
      </c>
      <c r="E48" s="3824"/>
      <c r="F48" s="3824"/>
      <c r="G48" s="3824"/>
      <c r="H48" s="3824"/>
      <c r="I48" s="3835"/>
      <c r="J48" s="3711"/>
      <c r="R48" s="3831"/>
      <c r="S48" s="844"/>
      <c r="T48" s="848" t="s">
        <v>501</v>
      </c>
      <c r="U48" s="200"/>
      <c r="V48" s="200"/>
      <c r="W48" s="200"/>
      <c r="X48" s="200"/>
      <c r="Y48" s="200"/>
      <c r="Z48" s="200"/>
      <c r="AA48" s="200"/>
      <c r="AB48" s="200"/>
      <c r="AC48" s="200"/>
      <c r="AD48" s="200"/>
      <c r="AE48" s="200"/>
      <c r="AF48" s="200"/>
      <c r="AG48" s="200"/>
      <c r="AH48" s="200"/>
      <c r="AI48" s="200"/>
      <c r="AJ48" s="200"/>
      <c r="AK48" s="3823" t="s">
        <v>502</v>
      </c>
      <c r="AN48" s="3479" t="str">
        <f>IF(T48="","",T48)</f>
        <v>Добавить значение признака дифференциации</v>
      </c>
      <c r="AQ48" s="3432">
        <v>20</v>
      </c>
    </row>
    <row customHeight="1" ht="22.049999999999997">
      <c r="A49" s="3857" t="s">
        <v>251</v>
      </c>
      <c r="B49" s="3857" t="s">
        <v>252</v>
      </c>
      <c r="C49" s="3857" t="s">
        <v>253</v>
      </c>
      <c r="D49" s="3857" t="s">
        <v>512</v>
      </c>
      <c r="E49" s="3824"/>
      <c r="F49" s="3824"/>
      <c r="G49" s="3824"/>
      <c r="H49" s="3824"/>
      <c r="I49" s="3711"/>
      <c r="R49" s="3831"/>
      <c r="S49" s="844"/>
      <c r="T49" s="851" t="s">
        <v>427</v>
      </c>
      <c r="U49" s="200"/>
      <c r="V49" s="200"/>
      <c r="W49" s="200"/>
      <c r="X49" s="200"/>
      <c r="Y49" s="200"/>
      <c r="Z49" s="200"/>
      <c r="AA49" s="200"/>
      <c r="AB49" s="849"/>
      <c r="AC49" s="200"/>
      <c r="AD49" s="200"/>
      <c r="AE49" s="200"/>
      <c r="AF49" s="200"/>
      <c r="AG49" s="200"/>
      <c r="AH49" s="200"/>
      <c r="AI49" s="849"/>
      <c r="AJ49" s="200"/>
      <c r="AK49" s="1036"/>
      <c r="AN49" s="3479" t="str">
        <f>IF(T49="","",T49)</f>
        <v>Добавить группу потребителей</v>
      </c>
      <c r="AQ49" s="3432">
        <v>21</v>
      </c>
    </row>
    <row customHeight="1" ht="22.049999999999997">
      <c r="A50" s="3857" t="s">
        <v>251</v>
      </c>
      <c r="B50" s="3857" t="s">
        <v>252</v>
      </c>
      <c r="C50" s="3857" t="s">
        <v>253</v>
      </c>
      <c r="D50" s="3857" t="s">
        <v>512</v>
      </c>
      <c r="E50" s="3824"/>
      <c r="F50" s="3824"/>
      <c r="G50" s="3824"/>
      <c r="H50" s="3817"/>
      <c r="R50" s="816"/>
      <c r="S50" s="844"/>
      <c r="T50" s="994" t="s">
        <v>503</v>
      </c>
      <c r="U50" s="200"/>
      <c r="V50" s="200"/>
      <c r="W50" s="200"/>
      <c r="X50" s="200"/>
      <c r="Y50" s="200"/>
      <c r="Z50" s="200"/>
      <c r="AA50" s="200"/>
      <c r="AB50" s="849"/>
      <c r="AC50" s="200"/>
      <c r="AD50" s="200"/>
      <c r="AE50" s="200"/>
      <c r="AF50" s="200"/>
      <c r="AG50" s="200"/>
      <c r="AH50" s="200"/>
      <c r="AI50" s="849"/>
      <c r="AJ50" s="200"/>
      <c r="AK50" s="850"/>
      <c r="AN50" s="3479" t="str">
        <f>IF(T50="","",T50)</f>
        <v>Добавить наименование признака дифференциации</v>
      </c>
      <c r="AQ50" s="3432">
        <v>21</v>
      </c>
    </row>
    <row customHeight="1" ht="0">
      <c r="A51" s="3470" t="s">
        <v>251</v>
      </c>
      <c r="B51" s="3470" t="s">
        <v>252</v>
      </c>
      <c r="E51" s="3824"/>
      <c r="F51" s="3817"/>
      <c r="T51" s="856" t="s">
        <v>430</v>
      </c>
      <c r="AN51" s="3479" t="str">
        <f>IF(T51="","",T51)</f>
        <v>Добавить централизованную систему для дифференциации</v>
      </c>
      <c r="AQ51" s="3473">
        <v>0</v>
      </c>
    </row>
    <row customHeight="1" ht="0">
      <c r="A52" s="3470" t="s">
        <v>251</v>
      </c>
      <c r="E52" s="3817"/>
      <c r="T52" s="856" t="s">
        <v>431</v>
      </c>
      <c r="AN52" s="3479" t="str">
        <f>IF(T52="","",T52)</f>
        <v>Добавить территорию для дифференциации</v>
      </c>
      <c r="AQ52" s="3473">
        <v>0</v>
      </c>
    </row>
    <row customHeight="1" ht="0">
      <c r="T53" s="856" t="s">
        <v>463</v>
      </c>
      <c r="AN53" s="3479" t="str">
        <f>IF(T53="","",T53)</f>
        <v>Добавить наименование тарифа</v>
      </c>
      <c r="AQ53" s="3473">
        <v>0</v>
      </c>
    </row>
    <row customHeight="1" ht="11.549999999999999">
      <c r="AQ54" s="3432">
        <v>11</v>
      </c>
    </row>
    <row customHeight="1" ht="14.699999999999998">
      <c r="AQ55" s="3432">
        <v>14</v>
      </c>
    </row>
    <row customHeight="1" ht="14.699999999999998">
      <c r="AQ56" s="3432">
        <v>14</v>
      </c>
    </row>
    <row customHeight="1" ht="14.699999999999998">
      <c r="AQ57" s="3432">
        <v>14</v>
      </c>
    </row>
    <row customHeight="1" ht="22.5" hidden="1">
      <c r="A58" s="3449" t="s">
        <v>80</v>
      </c>
      <c r="B58" s="3449">
        <v>0</v>
      </c>
      <c r="C58" s="3449">
        <v>0</v>
      </c>
      <c r="D58" s="3449">
        <v>0</v>
      </c>
      <c r="E58" s="3449">
        <v>0</v>
      </c>
      <c r="F58" s="3449">
        <v>0</v>
      </c>
      <c r="G58" s="3449">
        <v>0</v>
      </c>
      <c r="H58" s="3449">
        <v>0</v>
      </c>
      <c r="I58" s="3449">
        <v>0</v>
      </c>
      <c r="J58" s="3449">
        <v>0</v>
      </c>
      <c r="K58" s="3449">
        <v>0</v>
      </c>
      <c r="L58" s="3618">
        <v>0</v>
      </c>
      <c r="M58" s="105">
        <v>0</v>
      </c>
      <c r="N58" s="105">
        <v>0</v>
      </c>
      <c r="O58" s="105">
        <v>0</v>
      </c>
      <c r="P58" s="782">
        <v>3</v>
      </c>
      <c r="Q58" s="3797">
        <v>3</v>
      </c>
      <c r="R58" s="3797">
        <v>3</v>
      </c>
      <c r="S58" s="3447">
        <v>12</v>
      </c>
      <c r="T58" s="3432">
        <v>35</v>
      </c>
      <c r="U58" s="3432">
        <v>0</v>
      </c>
      <c r="V58" s="3432">
        <v>0</v>
      </c>
      <c r="W58" s="3432">
        <v>0</v>
      </c>
      <c r="X58" s="3432">
        <v>0</v>
      </c>
      <c r="Y58" s="3432">
        <v>0</v>
      </c>
      <c r="Z58" s="3432">
        <v>0</v>
      </c>
      <c r="AA58" s="3432">
        <v>0</v>
      </c>
      <c r="AB58" s="3432">
        <v>0</v>
      </c>
      <c r="AC58" s="3432">
        <v>24</v>
      </c>
      <c r="AD58" s="3432">
        <v>24</v>
      </c>
      <c r="AE58" s="3432">
        <v>24</v>
      </c>
      <c r="AF58" s="3432">
        <v>11</v>
      </c>
      <c r="AG58" s="3432">
        <v>3</v>
      </c>
      <c r="AH58" s="3432">
        <v>11</v>
      </c>
      <c r="AI58" s="3432">
        <v>0</v>
      </c>
      <c r="AJ58" s="3432">
        <v>4</v>
      </c>
      <c r="AK58" s="3432">
        <v>115</v>
      </c>
      <c r="AL58" s="3473">
        <v>10</v>
      </c>
      <c r="AM58" s="3473">
        <v>10</v>
      </c>
      <c r="AN58" s="3473">
        <v>10</v>
      </c>
      <c r="AO58" s="3473">
        <v>10</v>
      </c>
      <c r="AP58" s="3473">
        <v>10</v>
      </c>
      <c r="AQ58" s="34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32196-8FC9-652F-CB61-11168BF1C4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4.140625" hidden="1" customWidth="1"/>
    <col min="10" max="10" style="7348" width="9.8515625" hidden="1" customWidth="1"/>
    <col min="11" max="11" style="7348" width="14.71093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4" style="7348" width="24.7109375" hidden="1" customWidth="1"/>
    <col min="25" max="25" style="7348" width="11.7109375" hidden="1" customWidth="1"/>
    <col min="26" max="26" style="7348" width="3.7109375" hidden="1" customWidth="1"/>
    <col min="27" max="27" style="7348" width="11.7109375" hidden="1" customWidth="1"/>
    <col min="28" max="28" style="7348" width="8.57421875" hidden="1" customWidth="1"/>
    <col min="29" max="29" style="7348" width="24.7109375" customWidth="1"/>
    <col min="30" max="31" style="7348" width="24.00390625" customWidth="1"/>
    <col min="32" max="32" style="7348" width="11.00390625" customWidth="1"/>
    <col min="33" max="33" style="7348" width="3.7109375" customWidth="1"/>
    <col min="34" max="34" style="7348" width="11.00390625" customWidth="1"/>
    <col min="35" max="35" style="7348" width="8.57421875" hidden="1" customWidth="1"/>
    <col min="36" max="36" style="7348" width="4.00390625" customWidth="1"/>
    <col min="37" max="37" style="7348" width="115.00390625" customWidth="1"/>
    <col min="38" max="42" style="7348" width="10.00390625" customWidth="1"/>
    <col min="43" max="43" style="7348" width="10.57421875" hidden="1"/>
  </cols>
  <sheetData>
    <row customHeight="1" ht="22.5" hidden="1">
      <c r="AQ1" s="3432" t="s">
        <v>14</v>
      </c>
    </row>
    <row customHeight="1" ht="23.25" hidden="1">
      <c r="E2" s="3817">
        <v>1</v>
      </c>
      <c r="R2" s="816"/>
      <c r="S2" s="3818">
        <f>INDEX(PT_DIFFERENTIATION_NUM_NTAR,MATCH(A2,PT_DIFFERENTIATION_NTAR_ID,0))</f>
      </c>
      <c r="T2" s="3764" t="s">
        <v>141</v>
      </c>
      <c r="U2" s="3819"/>
      <c r="V2" s="3820"/>
      <c r="W2" s="3821"/>
      <c r="X2" s="3821"/>
      <c r="Y2" s="3821"/>
      <c r="Z2" s="3821"/>
      <c r="AA2" s="3821"/>
      <c r="AB2" s="3822"/>
      <c r="AC2" s="3820">
        <f>INDEX(PT_DIFFERENTIATION_NTAR,MATCH(A2,PT_DIFFERENTIATION_NTAR_ID,0))</f>
      </c>
      <c r="AD2" s="3821"/>
      <c r="AE2" s="3821"/>
      <c r="AF2" s="3821"/>
      <c r="AG2" s="3821"/>
      <c r="AH2" s="3821"/>
      <c r="AI2" s="3821"/>
      <c r="AJ2" s="3822"/>
      <c r="AK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3479" t="str">
        <f>IF(T2="","",T2)</f>
        <v>Наименование тарифа</v>
      </c>
      <c r="AQ2" s="3432">
        <v>0</v>
      </c>
    </row>
    <row customHeight="1" ht="23.25" hidden="1">
      <c r="E3" s="3824"/>
      <c r="F3" s="3817">
        <v>1</v>
      </c>
      <c r="Q3" s="3825"/>
      <c r="R3" s="3826"/>
      <c r="S3" s="3818">
        <f>INDEX(PT_DIFFERENTIATION_NUM_TER,MATCH(B3,PT_DIFFERENTIATION_TER_ID,0))</f>
      </c>
      <c r="T3" s="3827" t="s">
        <v>412</v>
      </c>
      <c r="U3" s="3819"/>
      <c r="V3" s="3820"/>
      <c r="W3" s="3821"/>
      <c r="X3" s="3821"/>
      <c r="Y3" s="3821"/>
      <c r="Z3" s="3821"/>
      <c r="AA3" s="3821"/>
      <c r="AB3" s="3822"/>
      <c r="AC3" s="3820">
        <f>INDEX(PT_DIFFERENTIATION_TER,MATCH(B3,PT_DIFFERENTIATION_TER_ID,0))</f>
      </c>
      <c r="AD3" s="3821"/>
      <c r="AE3" s="3821"/>
      <c r="AF3" s="3821"/>
      <c r="AG3" s="3821"/>
      <c r="AH3" s="3821"/>
      <c r="AI3" s="3821"/>
      <c r="AJ3" s="3822"/>
      <c r="AK3" s="3823" t="s">
        <v>413</v>
      </c>
      <c r="AN3" s="3479" t="str">
        <f>IF(T3="","",T3)</f>
        <v>Территория действия тарифа</v>
      </c>
      <c r="AQ3" s="3432">
        <v>0</v>
      </c>
    </row>
    <row customHeight="1" ht="23.25" hidden="1">
      <c r="E4" s="3824"/>
      <c r="F4" s="3824"/>
      <c r="G4" s="3817">
        <v>1</v>
      </c>
      <c r="Q4" s="3825"/>
      <c r="R4" s="3826"/>
      <c r="S4" s="3818">
        <f>INDEX(PT_DIFFERENTIATION_NUM_CS,MATCH(C4,PT_DIFFERENTIATION_CS_ID,0))</f>
      </c>
      <c r="T4" s="3828" t="s">
        <v>496</v>
      </c>
      <c r="U4" s="3819"/>
      <c r="V4" s="3820"/>
      <c r="W4" s="3821"/>
      <c r="X4" s="3821"/>
      <c r="Y4" s="3821"/>
      <c r="Z4" s="3821"/>
      <c r="AA4" s="3821"/>
      <c r="AB4" s="3822"/>
      <c r="AC4" s="3820">
        <f>INDEX(PT_DIFFERENTIATION_CS,MATCH(C4,PT_DIFFERENTIATION_CS_ID,0))</f>
      </c>
      <c r="AD4" s="3821"/>
      <c r="AE4" s="3821"/>
      <c r="AF4" s="3821"/>
      <c r="AG4" s="3821"/>
      <c r="AH4" s="3821"/>
      <c r="AI4" s="3821"/>
      <c r="AJ4" s="3822"/>
      <c r="AK4" s="3823" t="s">
        <v>497</v>
      </c>
      <c r="AN4" s="3479" t="str">
        <f>IF(T4="","",T4)</f>
        <v>Наименование централизованной системы холодного водоснабжения</v>
      </c>
      <c r="AQ4" s="3432">
        <v>0</v>
      </c>
    </row>
    <row customHeight="1" ht="23.25" hidden="1">
      <c r="E5" s="3824"/>
      <c r="F5" s="3824"/>
      <c r="G5" s="3824"/>
      <c r="H5" s="3824"/>
      <c r="I5" s="3711">
        <f>S4&amp;".1"</f>
      </c>
      <c r="P5" s="3471">
        <v>1</v>
      </c>
      <c r="R5" s="3831"/>
      <c r="S5" s="3818">
        <f>$I5</f>
      </c>
      <c r="T5" s="3832" t="s">
        <v>498</v>
      </c>
      <c r="U5" s="3819"/>
      <c r="V5" s="3938"/>
      <c r="W5" s="3939"/>
      <c r="X5" s="3939"/>
      <c r="Y5" s="3939"/>
      <c r="Z5" s="3939"/>
      <c r="AA5" s="3939"/>
      <c r="AB5" s="3940"/>
      <c r="AC5" s="1018"/>
      <c r="AD5" s="1031"/>
      <c r="AE5" s="1031"/>
      <c r="AF5" s="1031"/>
      <c r="AG5" s="1031"/>
      <c r="AH5" s="1031"/>
      <c r="AI5" s="1031"/>
      <c r="AJ5" s="1032"/>
      <c r="AK5" s="3823" t="s">
        <v>499</v>
      </c>
      <c r="AN5" s="3479" t="str">
        <f>IF(T5="","",T5)</f>
        <v>Наименование признака дифференциации</v>
      </c>
      <c r="AQ5" s="3432">
        <v>0</v>
      </c>
    </row>
    <row customHeight="1" ht="23.25" hidden="1">
      <c r="E6" s="3824"/>
      <c r="F6" s="3824"/>
      <c r="G6" s="3824"/>
      <c r="H6" s="3824"/>
      <c r="I6" s="3835"/>
      <c r="J6" s="3711">
        <f>I5&amp;".1"</f>
      </c>
      <c r="L6" s="3830" t="s">
        <v>421</v>
      </c>
      <c r="Q6" s="3471">
        <v>1</v>
      </c>
      <c r="R6" s="3836"/>
      <c r="S6" s="3818">
        <f>$J6</f>
      </c>
      <c r="T6" s="3837" t="s">
        <v>422</v>
      </c>
      <c r="U6" s="3819"/>
      <c r="V6" s="3638"/>
      <c r="W6" s="3833"/>
      <c r="X6" s="3833"/>
      <c r="Y6" s="3833"/>
      <c r="Z6" s="3833"/>
      <c r="AA6" s="3833"/>
      <c r="AB6" s="3834"/>
      <c r="AC6" s="3638"/>
      <c r="AD6" s="3833"/>
      <c r="AE6" s="3833"/>
      <c r="AF6" s="3833"/>
      <c r="AG6" s="3833"/>
      <c r="AH6" s="3833"/>
      <c r="AI6" s="3833"/>
      <c r="AJ6" s="3834"/>
      <c r="AK6" s="3883" t="s">
        <v>500</v>
      </c>
      <c r="AN6" s="3479" t="str">
        <f>IF(T6="","",T6)</f>
        <v>Группа потребителей</v>
      </c>
      <c r="AQ6" s="3432">
        <v>0</v>
      </c>
    </row>
    <row customHeight="1" ht="23.25" hidden="1">
      <c r="E7" s="3824"/>
      <c r="F7" s="3824"/>
      <c r="G7" s="3824"/>
      <c r="H7" s="3824"/>
      <c r="I7" s="3835"/>
      <c r="J7" s="3835"/>
      <c r="K7" s="3711">
        <f>J6&amp;".1"</f>
      </c>
      <c r="R7" s="3836">
        <v>1</v>
      </c>
      <c r="S7" s="3818">
        <f>$K7</f>
      </c>
      <c r="T7" s="1033"/>
      <c r="U7" s="3819"/>
      <c r="V7" s="838"/>
      <c r="W7" s="838"/>
      <c r="X7" s="840"/>
      <c r="Y7" s="572"/>
      <c r="Z7" s="210" t="s">
        <v>61</v>
      </c>
      <c r="AA7" s="572"/>
      <c r="AB7" s="210" t="s">
        <v>61</v>
      </c>
      <c r="AC7" s="838"/>
      <c r="AD7" s="838"/>
      <c r="AE7" s="840"/>
      <c r="AF7" s="572"/>
      <c r="AG7" s="210" t="s">
        <v>61</v>
      </c>
      <c r="AH7" s="881"/>
      <c r="AI7" s="210" t="s">
        <v>61</v>
      </c>
      <c r="AJ7" s="1034"/>
      <c r="AK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473">
        <f>STRCHECKDATE(V8:AJ8)</f>
      </c>
      <c r="AN7" s="3479" t="str">
        <f>IF(T7="","",T7)</f>
        <v/>
      </c>
      <c r="AQ7" s="3432">
        <v>0</v>
      </c>
    </row>
    <row customHeight="1" ht="14.25" hidden="1">
      <c r="E8" s="3824"/>
      <c r="F8" s="3824"/>
      <c r="G8" s="3824"/>
      <c r="H8" s="3824"/>
      <c r="I8" s="3835"/>
      <c r="J8" s="3835"/>
      <c r="K8" s="3711"/>
      <c r="R8" s="3836"/>
      <c r="S8" s="421"/>
      <c r="T8" s="3819"/>
      <c r="U8" s="3819"/>
      <c r="V8" s="839"/>
      <c r="W8" s="839"/>
      <c r="X8" s="842" t="str">
        <f>Y7&amp;"-"&amp;AA7</f>
        <v>-</v>
      </c>
      <c r="Y8" s="573"/>
      <c r="Z8" s="210"/>
      <c r="AA8" s="573"/>
      <c r="AB8" s="210"/>
      <c r="AC8" s="839"/>
      <c r="AD8" s="839"/>
      <c r="AE8" s="842" t="str">
        <f>AF7&amp;"-"&amp;AH7</f>
        <v>-</v>
      </c>
      <c r="AF8" s="573"/>
      <c r="AG8" s="210"/>
      <c r="AH8" s="883"/>
      <c r="AI8" s="210"/>
      <c r="AJ8" s="1015"/>
      <c r="AK8" s="3941"/>
      <c r="AN8" s="3479" t="str">
        <f>IF(T8="","",T8)</f>
        <v/>
      </c>
      <c r="AQ8" s="3432">
        <v>0</v>
      </c>
    </row>
    <row customHeight="1" ht="21" hidden="1">
      <c r="E9" s="3824"/>
      <c r="F9" s="3824"/>
      <c r="G9" s="3824"/>
      <c r="H9" s="3824"/>
      <c r="I9" s="3835"/>
      <c r="J9" s="3711"/>
      <c r="R9" s="3831"/>
      <c r="S9" s="844"/>
      <c r="T9" s="848" t="s">
        <v>501</v>
      </c>
      <c r="U9" s="200"/>
      <c r="V9" s="200"/>
      <c r="W9" s="200"/>
      <c r="X9" s="200"/>
      <c r="Y9" s="200"/>
      <c r="Z9" s="200"/>
      <c r="AA9" s="200"/>
      <c r="AB9" s="200"/>
      <c r="AC9" s="200"/>
      <c r="AD9" s="200"/>
      <c r="AE9" s="200"/>
      <c r="AF9" s="200"/>
      <c r="AG9" s="200"/>
      <c r="AH9" s="200"/>
      <c r="AI9" s="200"/>
      <c r="AJ9" s="200"/>
      <c r="AK9" s="3823" t="s">
        <v>502</v>
      </c>
      <c r="AN9" s="3479" t="str">
        <f>IF(T9="","",T9)</f>
        <v>Добавить значение признака дифференциации</v>
      </c>
      <c r="AQ9" s="3432">
        <v>0</v>
      </c>
    </row>
    <row customHeight="1" ht="21" hidden="1">
      <c r="E10" s="3824"/>
      <c r="F10" s="3824"/>
      <c r="G10" s="3824"/>
      <c r="H10" s="3824"/>
      <c r="I10" s="3711"/>
      <c r="R10" s="3831"/>
      <c r="S10" s="844"/>
      <c r="T10" s="851" t="s">
        <v>427</v>
      </c>
      <c r="U10" s="200"/>
      <c r="V10" s="200"/>
      <c r="W10" s="200"/>
      <c r="X10" s="200"/>
      <c r="Y10" s="200"/>
      <c r="Z10" s="200"/>
      <c r="AA10" s="200"/>
      <c r="AB10" s="849"/>
      <c r="AC10" s="200"/>
      <c r="AD10" s="200"/>
      <c r="AE10" s="200"/>
      <c r="AF10" s="200"/>
      <c r="AG10" s="200"/>
      <c r="AH10" s="200"/>
      <c r="AI10" s="849"/>
      <c r="AJ10" s="200"/>
      <c r="AK10" s="1036"/>
      <c r="AN10" s="3479" t="str">
        <f>IF(T10="","",T10)</f>
        <v>Добавить группу потребителей</v>
      </c>
      <c r="AQ10" s="3432">
        <v>0</v>
      </c>
    </row>
    <row customHeight="1" ht="21" hidden="1">
      <c r="E11" s="3824"/>
      <c r="F11" s="3824"/>
      <c r="G11" s="3824"/>
      <c r="H11" s="3817"/>
      <c r="R11" s="816"/>
      <c r="S11" s="844"/>
      <c r="T11" s="994" t="s">
        <v>503</v>
      </c>
      <c r="U11" s="200"/>
      <c r="V11" s="200"/>
      <c r="W11" s="200"/>
      <c r="X11" s="200"/>
      <c r="Y11" s="200"/>
      <c r="Z11" s="200"/>
      <c r="AA11" s="200"/>
      <c r="AB11" s="849"/>
      <c r="AC11" s="200"/>
      <c r="AD11" s="200"/>
      <c r="AE11" s="200"/>
      <c r="AF11" s="200"/>
      <c r="AG11" s="200"/>
      <c r="AH11" s="200"/>
      <c r="AI11" s="849"/>
      <c r="AJ11" s="200"/>
      <c r="AK11" s="850"/>
      <c r="AN11" s="3479" t="str">
        <f>IF(T11="","",T11)</f>
        <v>Добавить наименование признака дифференциации</v>
      </c>
      <c r="AQ11" s="3432">
        <v>0</v>
      </c>
    </row>
    <row customHeight="1" ht="14.25" hidden="1">
      <c r="E12" s="3824"/>
      <c r="F12" s="3817"/>
      <c r="T12" s="856" t="s">
        <v>430</v>
      </c>
      <c r="AN12" s="3479" t="str">
        <f>IF(T12="","",T12)</f>
        <v>Добавить централизованную систему для дифференциации</v>
      </c>
      <c r="AQ12" s="3473">
        <v>0</v>
      </c>
    </row>
    <row customHeight="1" ht="14.25" hidden="1">
      <c r="E13" s="3817"/>
      <c r="T13" s="856" t="s">
        <v>431</v>
      </c>
      <c r="AN13" s="3479" t="str">
        <f>IF(T13="","",T13)</f>
        <v>Добавить территорию для дифференциации</v>
      </c>
      <c r="AQ13" s="3473">
        <v>0</v>
      </c>
    </row>
    <row customHeight="1" ht="14.25" hidden="1">
      <c r="AQ14" s="3432">
        <v>0</v>
      </c>
    </row>
    <row customHeight="1" ht="14.25" hidden="1">
      <c r="AC15" s="719"/>
      <c r="AD15" s="719"/>
      <c r="AE15" s="857"/>
      <c r="AF15" s="858"/>
      <c r="AG15" s="616" t="s">
        <v>61</v>
      </c>
      <c r="AH15" s="858"/>
      <c r="AI15" s="616" t="s">
        <v>61</v>
      </c>
      <c r="AQ15" s="3432">
        <v>0</v>
      </c>
    </row>
    <row customHeight="1" ht="14.25" hidden="1">
      <c r="AC16" s="719"/>
      <c r="AD16" s="719"/>
      <c r="AE16" s="842" t="str">
        <f>AF15&amp;"-"&amp;AH15</f>
        <v>-</v>
      </c>
      <c r="AF16" s="616"/>
      <c r="AG16" s="616"/>
      <c r="AH16" s="616"/>
      <c r="AI16" s="616"/>
      <c r="AQ16" s="3432">
        <v>0</v>
      </c>
    </row>
    <row customHeight="1" ht="14.25" hidden="1">
      <c r="AQ17" s="3432">
        <v>0</v>
      </c>
    </row>
    <row customHeight="1" ht="22.5" hidden="1">
      <c r="O18" s="859" t="s">
        <v>432</v>
      </c>
      <c r="Y18" s="859"/>
      <c r="AA18" s="859"/>
      <c r="AF18" s="859"/>
      <c r="AH18" s="859"/>
      <c r="AQ18" s="3449">
        <v>0</v>
      </c>
    </row>
    <row customHeight="1" ht="14.25" hidden="1">
      <c r="AQ19" s="3449">
        <v>0</v>
      </c>
    </row>
    <row customHeight="1" ht="12" hidden="1">
      <c r="O20" s="3830" t="s">
        <v>433</v>
      </c>
      <c r="T20" s="3449" t="s">
        <v>434</v>
      </c>
      <c r="Z20" s="3511" t="s">
        <v>435</v>
      </c>
      <c r="AB20" s="3511" t="s">
        <v>436</v>
      </c>
      <c r="AC20" s="3449" t="s">
        <v>434</v>
      </c>
      <c r="AG20" s="3511" t="s">
        <v>437</v>
      </c>
      <c r="AI20" s="3511" t="s">
        <v>436</v>
      </c>
      <c r="AQ20" s="3449">
        <v>0</v>
      </c>
    </row>
    <row customHeight="1" ht="14.25" hidden="1">
      <c r="AQ21" s="3432">
        <v>0</v>
      </c>
    </row>
    <row customHeight="1" ht="14.25" hidden="1">
      <c r="AQ22" s="3432">
        <v>0</v>
      </c>
    </row>
    <row customHeight="1" ht="14.699999999999998">
      <c r="Q23" s="3719"/>
      <c r="R23" s="3719"/>
      <c r="S23" s="3842"/>
      <c r="T23" s="3450"/>
      <c r="U23" s="3450"/>
      <c r="AQ23" s="3432">
        <v>14</v>
      </c>
    </row>
    <row customHeight="1" ht="14.699999999999998">
      <c r="Q24" s="3719"/>
      <c r="R24" s="3719"/>
      <c r="S24" s="3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646"/>
      <c r="U24" s="3646"/>
      <c r="V24" s="3646"/>
      <c r="W24" s="3646"/>
      <c r="X24" s="3646"/>
      <c r="Y24" s="3646"/>
      <c r="Z24" s="3646"/>
      <c r="AA24" s="3646"/>
      <c r="AB24" s="3646"/>
      <c r="AC24" s="3646"/>
      <c r="AD24" s="3646"/>
      <c r="AE24" s="3646"/>
      <c r="AF24" s="3646"/>
      <c r="AG24" s="3646"/>
      <c r="AH24" s="3646"/>
      <c r="AQ24" s="3432">
        <v>14</v>
      </c>
    </row>
    <row customHeight="1" ht="14.699999999999998">
      <c r="Q25" s="3719"/>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Q25" s="3432">
        <v>14</v>
      </c>
    </row>
    <row customHeight="1" ht="14.25" hidden="1">
      <c r="Q26" s="3719"/>
      <c r="R26" s="3719"/>
      <c r="S26" s="3842"/>
      <c r="T26" s="3450"/>
      <c r="U26" s="3450"/>
      <c r="V26" s="3804"/>
      <c r="W26" s="3804"/>
      <c r="X26" s="3804"/>
      <c r="Y26" s="3804"/>
      <c r="Z26" s="3804"/>
      <c r="AA26" s="3804"/>
      <c r="AB26" s="3804"/>
      <c r="AC26" s="3804"/>
      <c r="AD26" s="3804"/>
      <c r="AE26" s="3804"/>
      <c r="AF26" s="3804"/>
      <c r="AG26" s="3804"/>
      <c r="AH26" s="3804"/>
      <c r="AI26" s="3804"/>
      <c r="AQ26" s="3432">
        <v>0</v>
      </c>
    </row>
    <row customHeight="1" ht="25.5" hidden="1">
      <c r="S27" s="3843" t="s">
        <v>41</v>
      </c>
      <c r="T27" s="3843"/>
      <c r="U27" s="3844"/>
      <c r="V27" s="3806" t="str">
        <f>IF(TITLE_NAME_OR_PR_CHANGE="",IF(TITLE_NAME_OR_PR="","",TITLE_NAME_OR_PR),TITLE_NAME_OR_PR_CHANGE)</f>
        <v/>
      </c>
      <c r="W27" s="3806"/>
      <c r="X27" s="3806"/>
      <c r="Y27" s="3806"/>
      <c r="Z27" s="3806"/>
      <c r="AA27" s="3806"/>
      <c r="AC27" s="3806" t="str">
        <f>IF(TITLE_NAME_OR_PR_CHANGE="",IF(TITLE_NAME_OR_PR="","",TITLE_NAME_OR_PR),TITLE_NAME_OR_PR_CHANGE)</f>
        <v/>
      </c>
      <c r="AD27" s="3806"/>
      <c r="AE27" s="3806"/>
      <c r="AF27" s="3806"/>
      <c r="AG27" s="3806"/>
      <c r="AH27" s="3806"/>
      <c r="AQ27" s="3489">
        <v>0</v>
      </c>
    </row>
    <row customHeight="1" ht="18.75" hidden="1">
      <c r="S28" s="3843" t="s">
        <v>438</v>
      </c>
      <c r="T28" s="3843"/>
      <c r="U28" s="3844"/>
      <c r="V28" s="795" t="str">
        <f>IF(TITLE_DATE_PR_CHANGE="",IF(TITLE_DATE_PR="","",TITLE_DATE_PR),TITLE_DATE_PR_CHANGE)</f>
        <v/>
      </c>
      <c r="W28" s="795"/>
      <c r="X28" s="795"/>
      <c r="Y28" s="795"/>
      <c r="Z28" s="795"/>
      <c r="AA28" s="795"/>
      <c r="AC28" s="795" t="str">
        <f>IF(TITLE_DATE_PR_CHANGE="",IF(TITLE_DATE_PR="","",TITLE_DATE_PR),TITLE_DATE_PR_CHANGE)</f>
        <v/>
      </c>
      <c r="AD28" s="795"/>
      <c r="AE28" s="795"/>
      <c r="AF28" s="795"/>
      <c r="AG28" s="795"/>
      <c r="AH28" s="795"/>
      <c r="AQ28" s="3489">
        <v>0</v>
      </c>
    </row>
    <row customHeight="1" ht="18.75" hidden="1">
      <c r="S29" s="3843" t="s">
        <v>439</v>
      </c>
      <c r="T29" s="3843"/>
      <c r="U29" s="3844"/>
      <c r="V29" s="3806" t="str">
        <f>IF(TITLE_NUMBER_PR_CHANGE="",IF(TITLE_NUMBER_PR="","",TITLE_NUMBER_PR),TITLE_NUMBER_PR_CHANGE)</f>
        <v/>
      </c>
      <c r="W29" s="3806"/>
      <c r="X29" s="3806"/>
      <c r="Y29" s="3806"/>
      <c r="Z29" s="3806"/>
      <c r="AA29" s="3806"/>
      <c r="AC29" s="3806" t="str">
        <f>IF(TITLE_NUMBER_PR_CHANGE="",IF(TITLE_NUMBER_PR="","",TITLE_NUMBER_PR),TITLE_NUMBER_PR_CHANGE)</f>
        <v/>
      </c>
      <c r="AD29" s="3806"/>
      <c r="AE29" s="3806"/>
      <c r="AF29" s="3806"/>
      <c r="AG29" s="3806"/>
      <c r="AH29" s="3806"/>
      <c r="AQ29" s="3489">
        <v>0</v>
      </c>
    </row>
    <row customHeight="1" ht="18.75" hidden="1">
      <c r="S30" s="3843" t="s">
        <v>42</v>
      </c>
      <c r="T30" s="3843"/>
      <c r="U30" s="3844"/>
      <c r="V30" s="3806" t="str">
        <f>IF(TITLE_IST_PUB_CHANGE="",IF(TITLE_IST_PUB="","",TITLE_IST_PUB),TITLE_IST_PUB_CHANGE)</f>
        <v/>
      </c>
      <c r="W30" s="3806"/>
      <c r="X30" s="3806"/>
      <c r="Y30" s="3806"/>
      <c r="Z30" s="3806"/>
      <c r="AA30" s="3806"/>
      <c r="AC30" s="3806" t="str">
        <f>IF(TITLE_IST_PUB_CHANGE="",IF(TITLE_IST_PUB="","",TITLE_IST_PUB),TITLE_IST_PUB_CHANGE)</f>
        <v/>
      </c>
      <c r="AD30" s="3806"/>
      <c r="AE30" s="3806"/>
      <c r="AF30" s="3806"/>
      <c r="AG30" s="3806"/>
      <c r="AH30" s="3806"/>
      <c r="AQ30" s="3489">
        <v>0</v>
      </c>
    </row>
    <row customHeight="1" ht="14.25" hidden="1">
      <c r="Q31" s="3719"/>
      <c r="R31" s="3719"/>
      <c r="S31" s="3842"/>
      <c r="T31" s="3450"/>
      <c r="U31" s="3450"/>
      <c r="V31" s="3804"/>
      <c r="W31" s="3804"/>
      <c r="X31" s="3804"/>
      <c r="Y31" s="3804"/>
      <c r="Z31" s="3804"/>
      <c r="AA31" s="3804"/>
      <c r="AB31" s="3804"/>
      <c r="AC31" s="3804"/>
      <c r="AD31" s="3804"/>
      <c r="AE31" s="3804"/>
      <c r="AF31" s="3804"/>
      <c r="AG31" s="3804"/>
      <c r="AH31" s="3804"/>
      <c r="AI31" s="3804"/>
      <c r="AQ31" s="3432">
        <v>0</v>
      </c>
    </row>
    <row customHeight="1" ht="18.75" hidden="1">
      <c r="S32" s="3843" t="s">
        <v>440</v>
      </c>
      <c r="T32" s="3843"/>
      <c r="U32" s="3844"/>
      <c r="V32" s="795" t="str">
        <f>IF(TITLE_DATE_PR_CHANGE="",IF(TITLE_DATE_PR="","",TITLE_DATE_PR),TITLE_DATE_PR_CHANGE)</f>
        <v/>
      </c>
      <c r="W32" s="795"/>
      <c r="X32" s="795"/>
      <c r="Y32" s="795"/>
      <c r="Z32" s="795"/>
      <c r="AA32" s="795"/>
      <c r="AC32" s="795" t="str">
        <f>IF(TITLE_DATE_PR_CHANGE="",IF(TITLE_DATE_PR="","",TITLE_DATE_PR),TITLE_DATE_PR_CHANGE)</f>
        <v/>
      </c>
      <c r="AD32" s="795"/>
      <c r="AE32" s="795"/>
      <c r="AF32" s="795"/>
      <c r="AG32" s="795"/>
      <c r="AH32" s="795"/>
      <c r="AQ32" s="3489">
        <v>0</v>
      </c>
    </row>
    <row customHeight="1" ht="18.75" hidden="1">
      <c r="S33" s="3843" t="s">
        <v>441</v>
      </c>
      <c r="T33" s="3843"/>
      <c r="U33" s="3844"/>
      <c r="V33" s="3806" t="str">
        <f>IF(TITLE_NUMBER_PR_CHANGE="",IF(TITLE_NUMBER_PR="","",TITLE_NUMBER_PR),TITLE_NUMBER_PR_CHANGE)</f>
        <v/>
      </c>
      <c r="W33" s="3806"/>
      <c r="X33" s="3806"/>
      <c r="Y33" s="3806"/>
      <c r="Z33" s="3806"/>
      <c r="AA33" s="3806"/>
      <c r="AC33" s="3806" t="str">
        <f>IF(TITLE_NUMBER_PR_CHANGE="",IF(TITLE_NUMBER_PR="","",TITLE_NUMBER_PR),TITLE_NUMBER_PR_CHANGE)</f>
        <v/>
      </c>
      <c r="AD33" s="3806"/>
      <c r="AE33" s="3806"/>
      <c r="AF33" s="3806"/>
      <c r="AG33" s="3806"/>
      <c r="AH33" s="3806"/>
      <c r="AQ33" s="3489">
        <v>0</v>
      </c>
    </row>
    <row customHeight="1" ht="1.05">
      <c r="AB34" s="3473" t="s">
        <v>442</v>
      </c>
      <c r="AI34" s="3473" t="s">
        <v>442</v>
      </c>
      <c r="AQ34" s="3489">
        <v>1</v>
      </c>
    </row>
    <row customHeight="1" ht="14.699999999999998">
      <c r="Q35" s="3719"/>
      <c r="R35" s="3719"/>
      <c r="S35" s="3842"/>
      <c r="T35" s="3450"/>
      <c r="U35" s="3845"/>
      <c r="V35" s="3846"/>
      <c r="W35" s="3846"/>
      <c r="X35" s="3846"/>
      <c r="Y35" s="3846"/>
      <c r="Z35" s="3846"/>
      <c r="AA35" s="3846"/>
      <c r="AB35" s="3846"/>
      <c r="AC35" s="3846"/>
      <c r="AD35" s="3846"/>
      <c r="AE35" s="3846"/>
      <c r="AF35" s="3846"/>
      <c r="AG35" s="3846"/>
      <c r="AH35" s="3846"/>
      <c r="AI35" s="3846"/>
      <c r="AQ35" s="3432">
        <v>14</v>
      </c>
    </row>
    <row customHeight="1" ht="14.699999999999998">
      <c r="Q36" s="3719"/>
      <c r="R36" s="3719"/>
      <c r="S36" s="3480" t="s">
        <v>315</v>
      </c>
      <c r="T36" s="3480"/>
      <c r="U36" s="3480"/>
      <c r="V36" s="3480"/>
      <c r="W36" s="3480"/>
      <c r="X36" s="3480"/>
      <c r="Y36" s="3480"/>
      <c r="Z36" s="3480"/>
      <c r="AA36" s="3480"/>
      <c r="AB36" s="3480"/>
      <c r="AC36" s="3480"/>
      <c r="AD36" s="3480"/>
      <c r="AE36" s="3480"/>
      <c r="AF36" s="3480"/>
      <c r="AG36" s="3480"/>
      <c r="AH36" s="3480"/>
      <c r="AI36" s="3480"/>
      <c r="AJ36" s="3480"/>
      <c r="AK36" s="3480" t="s">
        <v>316</v>
      </c>
      <c r="AQ36" s="3432">
        <v>14</v>
      </c>
    </row>
    <row customHeight="1" ht="14.699999999999998">
      <c r="Q37" s="3719"/>
      <c r="R37" s="3719"/>
      <c r="S37" s="3818" t="s">
        <v>86</v>
      </c>
      <c r="T37" s="3579" t="s">
        <v>443</v>
      </c>
      <c r="U37" s="3793"/>
      <c r="V37" s="3847" t="s">
        <v>444</v>
      </c>
      <c r="W37" s="3848"/>
      <c r="X37" s="3848"/>
      <c r="Y37" s="3848"/>
      <c r="Z37" s="3848"/>
      <c r="AA37" s="3849"/>
      <c r="AB37" s="3807" t="s">
        <v>445</v>
      </c>
      <c r="AC37" s="3847" t="s">
        <v>444</v>
      </c>
      <c r="AD37" s="3848"/>
      <c r="AE37" s="3848"/>
      <c r="AF37" s="3848"/>
      <c r="AG37" s="3848"/>
      <c r="AH37" s="3849"/>
      <c r="AI37" s="3807" t="s">
        <v>446</v>
      </c>
      <c r="AJ37" s="868" t="s">
        <v>447</v>
      </c>
      <c r="AK37" s="3480"/>
      <c r="AQ37" s="3432">
        <v>14</v>
      </c>
    </row>
    <row customHeight="1" ht="35.699999999999996">
      <c r="Q38" s="3719"/>
      <c r="R38" s="3719"/>
      <c r="S38" s="3818"/>
      <c r="T38" s="3579"/>
      <c r="U38" s="3798"/>
      <c r="V38" s="3558" t="s">
        <v>504</v>
      </c>
      <c r="W38" s="3437" t="s">
        <v>450</v>
      </c>
      <c r="X38" s="3436"/>
      <c r="Y38" s="3437" t="s">
        <v>451</v>
      </c>
      <c r="Z38" s="3477"/>
      <c r="AA38" s="3436"/>
      <c r="AB38" s="3851"/>
      <c r="AC38" s="3558" t="s">
        <v>504</v>
      </c>
      <c r="AD38" s="3437" t="s">
        <v>450</v>
      </c>
      <c r="AE38" s="3436"/>
      <c r="AF38" s="3437" t="s">
        <v>451</v>
      </c>
      <c r="AG38" s="3477"/>
      <c r="AH38" s="3436"/>
      <c r="AI38" s="3851"/>
      <c r="AJ38" s="871"/>
      <c r="AK38" s="3480"/>
      <c r="AQ38" s="3432">
        <v>34</v>
      </c>
    </row>
    <row customHeight="1" ht="35.699999999999996">
      <c r="B39" s="3511" t="s">
        <v>153</v>
      </c>
      <c r="C39" s="3511" t="s">
        <v>154</v>
      </c>
      <c r="D39" s="3511" t="s">
        <v>155</v>
      </c>
      <c r="E39" s="3830" t="s">
        <v>452</v>
      </c>
      <c r="F39" s="3830" t="s">
        <v>453</v>
      </c>
      <c r="G39" s="3830" t="s">
        <v>454</v>
      </c>
      <c r="I39" s="3830" t="s">
        <v>505</v>
      </c>
      <c r="J39" s="3830" t="s">
        <v>457</v>
      </c>
      <c r="K39" s="3830" t="s">
        <v>506</v>
      </c>
      <c r="L39" s="3830" t="s">
        <v>433</v>
      </c>
      <c r="Q39" s="3719"/>
      <c r="R39" s="3719"/>
      <c r="S39" s="3818"/>
      <c r="T39" s="3579"/>
      <c r="U39" s="3852"/>
      <c r="V39" s="3558" t="s">
        <v>507</v>
      </c>
      <c r="W39" s="3525" t="s">
        <v>508</v>
      </c>
      <c r="X39" s="3525" t="s">
        <v>509</v>
      </c>
      <c r="Y39" s="3525" t="s">
        <v>461</v>
      </c>
      <c r="Z39" s="3626" t="s">
        <v>462</v>
      </c>
      <c r="AA39" s="3628"/>
      <c r="AB39" s="3810"/>
      <c r="AC39" s="3558" t="s">
        <v>507</v>
      </c>
      <c r="AD39" s="3525" t="s">
        <v>508</v>
      </c>
      <c r="AE39" s="3525" t="s">
        <v>509</v>
      </c>
      <c r="AF39" s="3525" t="s">
        <v>461</v>
      </c>
      <c r="AG39" s="3626" t="s">
        <v>462</v>
      </c>
      <c r="AH39" s="3628"/>
      <c r="AI39" s="3810"/>
      <c r="AJ39" s="873"/>
      <c r="AK39" s="3480"/>
      <c r="AQ39" s="3432">
        <v>34</v>
      </c>
    </row>
    <row customHeight="1" ht="0">
      <c r="Q40" s="3853"/>
      <c r="R40" s="3854">
        <v>1</v>
      </c>
      <c r="S40" s="876" t="s">
        <v>107</v>
      </c>
      <c r="T40" s="877" t="s">
        <v>108</v>
      </c>
      <c r="U40" s="3855" t="str">
        <f>OFFSET(U40,0,-1)</f>
        <v>2</v>
      </c>
      <c r="V40" s="3856">
        <f>OFFSET(V40,0,-1)+1</f>
        <v>3</v>
      </c>
      <c r="W40" s="3856">
        <f>OFFSET(W40,0,-1)+1</f>
        <v>4</v>
      </c>
      <c r="X40" s="3856">
        <f>OFFSET(X40,0,-1)+1</f>
        <v>5</v>
      </c>
      <c r="Y40" s="3856">
        <f>OFFSET(Y40,0,-1)+1</f>
        <v>6</v>
      </c>
      <c r="Z40" s="3856">
        <f>OFFSET(Z40,0,-1)+1</f>
        <v>7</v>
      </c>
      <c r="AA40" s="3856"/>
      <c r="AB40" s="3856">
        <f>OFFSET(AB40,0,-2)+1</f>
        <v>8</v>
      </c>
      <c r="AC40" s="3856">
        <f>OFFSET(AC40,0,-1)+1</f>
        <v>9</v>
      </c>
      <c r="AD40" s="3856">
        <f>OFFSET(AD40,0,-1)+1</f>
        <v>10</v>
      </c>
      <c r="AE40" s="3856">
        <f>OFFSET(AE40,0,-1)+1</f>
        <v>11</v>
      </c>
      <c r="AF40" s="3856">
        <f>OFFSET(AF40,0,-1)+1</f>
        <v>12</v>
      </c>
      <c r="AG40" s="3856">
        <f>OFFSET(AG40,0,-1)+1</f>
        <v>13</v>
      </c>
      <c r="AH40" s="3856"/>
      <c r="AI40" s="3856">
        <f>OFFSET(AI40,0,-2)+1</f>
        <v>14</v>
      </c>
      <c r="AJ40" s="3855">
        <f>OFFSET(AJ40,0,-1)</f>
        <v>14</v>
      </c>
      <c r="AK40" s="3856">
        <f>OFFSET(AK40,0,-1)+1</f>
        <v>15</v>
      </c>
      <c r="AQ40" s="3637">
        <v>0</v>
      </c>
    </row>
    <row customHeight="1" ht="24">
      <c r="A41" s="3857" t="s">
        <v>256</v>
      </c>
      <c r="E41" s="3817">
        <v>1</v>
      </c>
      <c r="R41" s="816"/>
      <c r="S41" s="3818">
        <f>INDEX(PT_DIFFERENTIATION_NUM_NTAR,MATCH(A41,PT_DIFFERENTIATION_NTAR_ID,0))</f>
        <v>0</v>
      </c>
      <c r="T41" s="3764" t="s">
        <v>141</v>
      </c>
      <c r="U41" s="3819"/>
      <c r="V41" s="3820"/>
      <c r="W41" s="3821"/>
      <c r="X41" s="3821"/>
      <c r="Y41" s="3821"/>
      <c r="Z41" s="3821"/>
      <c r="AA41" s="3821"/>
      <c r="AB41" s="3822"/>
      <c r="AC41" s="3820" t="str">
        <f>INDEX(PT_DIFFERENTIATION_NTAR,MATCH(A41,PT_DIFFERENTIATION_NTAR_ID,0))</f>
        <v/>
      </c>
      <c r="AD41" s="3821"/>
      <c r="AE41" s="3821"/>
      <c r="AF41" s="3821"/>
      <c r="AG41" s="3821"/>
      <c r="AH41" s="3821"/>
      <c r="AI41" s="3821"/>
      <c r="AJ41" s="3822"/>
      <c r="AK41"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3479" t="str">
        <f>IF(T41="","",T41)</f>
        <v>Наименование тарифа</v>
      </c>
      <c r="AQ41" s="3432">
        <v>23</v>
      </c>
    </row>
    <row customHeight="1" ht="24">
      <c r="A42" s="3857" t="s">
        <v>256</v>
      </c>
      <c r="B42" s="3857" t="s">
        <v>257</v>
      </c>
      <c r="E42" s="3824"/>
      <c r="F42" s="3817">
        <v>1</v>
      </c>
      <c r="Q42" s="3825"/>
      <c r="R42" s="3826"/>
      <c r="S42" s="3818" t="str">
        <f>INDEX(PT_DIFFERENTIATION_NUM_TER,MATCH(B42,PT_DIFFERENTIATION_TER_ID,0))</f>
        <v>.</v>
      </c>
      <c r="T42" s="3827" t="s">
        <v>412</v>
      </c>
      <c r="U42" s="3819"/>
      <c r="V42" s="3820"/>
      <c r="W42" s="3821"/>
      <c r="X42" s="3821"/>
      <c r="Y42" s="3821"/>
      <c r="Z42" s="3821"/>
      <c r="AA42" s="3821"/>
      <c r="AB42" s="3822"/>
      <c r="AC42" s="3820" t="str">
        <f>INDEX(PT_DIFFERENTIATION_TER,MATCH(B42,PT_DIFFERENTIATION_TER_ID,0))</f>
        <v/>
      </c>
      <c r="AD42" s="3821"/>
      <c r="AE42" s="3821"/>
      <c r="AF42" s="3821"/>
      <c r="AG42" s="3821"/>
      <c r="AH42" s="3821"/>
      <c r="AI42" s="3821"/>
      <c r="AJ42" s="3822"/>
      <c r="AK42" s="3823" t="s">
        <v>413</v>
      </c>
      <c r="AN42" s="3479" t="str">
        <f>IF(T42="","",T42)</f>
        <v>Территория действия тарифа</v>
      </c>
      <c r="AQ42" s="3432">
        <v>23</v>
      </c>
    </row>
    <row customHeight="1" ht="24">
      <c r="A43" s="3857" t="s">
        <v>256</v>
      </c>
      <c r="B43" s="3857" t="s">
        <v>257</v>
      </c>
      <c r="C43" s="3857" t="s">
        <v>258</v>
      </c>
      <c r="E43" s="3824"/>
      <c r="F43" s="3824"/>
      <c r="G43" s="3817">
        <v>1</v>
      </c>
      <c r="Q43" s="3825"/>
      <c r="R43" s="3826"/>
      <c r="S43" s="3818" t="str">
        <f>INDEX(PT_DIFFERENTIATION_NUM_CS,MATCH(C43,PT_DIFFERENTIATION_CS_ID,0))</f>
        <v>..</v>
      </c>
      <c r="T43" s="3828" t="s">
        <v>496</v>
      </c>
      <c r="U43" s="3819"/>
      <c r="V43" s="3820"/>
      <c r="W43" s="3821"/>
      <c r="X43" s="3821"/>
      <c r="Y43" s="3821"/>
      <c r="Z43" s="3821"/>
      <c r="AA43" s="3821"/>
      <c r="AB43" s="3822"/>
      <c r="AC43" s="3820" t="str">
        <f>INDEX(PT_DIFFERENTIATION_CS,MATCH(C43,PT_DIFFERENTIATION_CS_ID,0))</f>
        <v/>
      </c>
      <c r="AD43" s="3821"/>
      <c r="AE43" s="3821"/>
      <c r="AF43" s="3821"/>
      <c r="AG43" s="3821"/>
      <c r="AH43" s="3821"/>
      <c r="AI43" s="3821"/>
      <c r="AJ43" s="3822"/>
      <c r="AK43" s="3823" t="s">
        <v>497</v>
      </c>
      <c r="AN43" s="3479" t="str">
        <f>IF(T43="","",T43)</f>
        <v>Наименование централизованной системы холодного водоснабжения</v>
      </c>
      <c r="AQ43" s="3432">
        <v>23</v>
      </c>
    </row>
    <row customHeight="1" ht="24">
      <c r="A44" s="3857" t="s">
        <v>256</v>
      </c>
      <c r="B44" s="3857" t="s">
        <v>257</v>
      </c>
      <c r="C44" s="3857" t="s">
        <v>258</v>
      </c>
      <c r="D44" s="3857" t="s">
        <v>513</v>
      </c>
      <c r="E44" s="3824"/>
      <c r="F44" s="3824"/>
      <c r="G44" s="3824"/>
      <c r="H44" s="3824"/>
      <c r="I44" s="3711" t="str">
        <f>S43&amp;".1"</f>
        <v>...1</v>
      </c>
      <c r="P44" s="3471">
        <v>1</v>
      </c>
      <c r="R44" s="3831"/>
      <c r="S44" s="3818" t="str">
        <f>$I44</f>
        <v>...1</v>
      </c>
      <c r="T44" s="3832" t="s">
        <v>498</v>
      </c>
      <c r="U44" s="3819"/>
      <c r="V44" s="3938"/>
      <c r="W44" s="3939"/>
      <c r="X44" s="3939"/>
      <c r="Y44" s="3939"/>
      <c r="Z44" s="3939"/>
      <c r="AA44" s="3939"/>
      <c r="AB44" s="3940"/>
      <c r="AC44" s="1018"/>
      <c r="AD44" s="1031"/>
      <c r="AE44" s="1031"/>
      <c r="AF44" s="1031"/>
      <c r="AG44" s="1031"/>
      <c r="AH44" s="1031"/>
      <c r="AI44" s="1031"/>
      <c r="AJ44" s="1032"/>
      <c r="AK44" s="3823" t="s">
        <v>499</v>
      </c>
      <c r="AN44" s="3479" t="str">
        <f>IF(T44="","",T44)</f>
        <v>Наименование признака дифференциации</v>
      </c>
      <c r="AQ44" s="3432">
        <v>23</v>
      </c>
    </row>
    <row customHeight="1" ht="24">
      <c r="A45" s="3857" t="s">
        <v>256</v>
      </c>
      <c r="B45" s="3857" t="s">
        <v>257</v>
      </c>
      <c r="C45" s="3857" t="s">
        <v>258</v>
      </c>
      <c r="D45" s="3857" t="s">
        <v>513</v>
      </c>
      <c r="E45" s="3824"/>
      <c r="F45" s="3824"/>
      <c r="G45" s="3824"/>
      <c r="H45" s="3824"/>
      <c r="I45" s="3835"/>
      <c r="J45" s="3711" t="str">
        <f>I44&amp;".1"</f>
        <v>...1.1</v>
      </c>
      <c r="L45" s="3830" t="s">
        <v>421</v>
      </c>
      <c r="Q45" s="3471">
        <v>1</v>
      </c>
      <c r="R45" s="3836"/>
      <c r="S45" s="3818" t="str">
        <f>$J45</f>
        <v>...1.1</v>
      </c>
      <c r="T45" s="3837" t="s">
        <v>422</v>
      </c>
      <c r="U45" s="3819"/>
      <c r="V45" s="3638"/>
      <c r="W45" s="3833"/>
      <c r="X45" s="3833"/>
      <c r="Y45" s="3833"/>
      <c r="Z45" s="3833"/>
      <c r="AA45" s="3833"/>
      <c r="AB45" s="3834"/>
      <c r="AC45" s="3638"/>
      <c r="AD45" s="3833"/>
      <c r="AE45" s="3833"/>
      <c r="AF45" s="3833"/>
      <c r="AG45" s="3833"/>
      <c r="AH45" s="3833"/>
      <c r="AI45" s="3833"/>
      <c r="AJ45" s="3834"/>
      <c r="AK45" s="3883" t="s">
        <v>500</v>
      </c>
      <c r="AN45" s="3479" t="str">
        <f>IF(T45="","",T45)</f>
        <v>Группа потребителей</v>
      </c>
      <c r="AQ45" s="3432">
        <v>23</v>
      </c>
    </row>
    <row customHeight="1" ht="24">
      <c r="A46" s="3857" t="s">
        <v>256</v>
      </c>
      <c r="B46" s="3857" t="s">
        <v>257</v>
      </c>
      <c r="C46" s="3857" t="s">
        <v>258</v>
      </c>
      <c r="D46" s="3857" t="s">
        <v>513</v>
      </c>
      <c r="E46" s="3824"/>
      <c r="F46" s="3824"/>
      <c r="G46" s="3824"/>
      <c r="H46" s="3824"/>
      <c r="I46" s="3835"/>
      <c r="J46" s="3835"/>
      <c r="K46" s="3711" t="str">
        <f>J45&amp;".1"</f>
        <v>...1.1.1</v>
      </c>
      <c r="R46" s="3836">
        <v>1</v>
      </c>
      <c r="S46" s="3818" t="str">
        <f>$K46</f>
        <v>...1.1.1</v>
      </c>
      <c r="T46" s="1033"/>
      <c r="U46" s="3819"/>
      <c r="V46" s="838"/>
      <c r="W46" s="838"/>
      <c r="X46" s="840"/>
      <c r="Y46" s="572"/>
      <c r="Z46" s="210" t="s">
        <v>61</v>
      </c>
      <c r="AA46" s="572"/>
      <c r="AB46" s="210" t="s">
        <v>61</v>
      </c>
      <c r="AC46" s="838"/>
      <c r="AD46" s="838"/>
      <c r="AE46" s="840"/>
      <c r="AF46" s="572"/>
      <c r="AG46" s="210" t="s">
        <v>61</v>
      </c>
      <c r="AH46" s="881"/>
      <c r="AI46" s="210" t="s">
        <v>61</v>
      </c>
      <c r="AJ46" s="1034"/>
      <c r="AK46"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473">
        <f>STRCHECKDATE(V47:AJ47)</f>
      </c>
      <c r="AN46" s="3479" t="str">
        <f>IF(T46="","",T46)</f>
        <v/>
      </c>
      <c r="AQ46" s="3432">
        <v>23</v>
      </c>
    </row>
    <row customHeight="1" ht="0">
      <c r="A47" s="3857" t="s">
        <v>256</v>
      </c>
      <c r="B47" s="3857" t="s">
        <v>257</v>
      </c>
      <c r="C47" s="3857" t="s">
        <v>258</v>
      </c>
      <c r="D47" s="3857" t="s">
        <v>513</v>
      </c>
      <c r="E47" s="3824"/>
      <c r="F47" s="3824"/>
      <c r="G47" s="3824"/>
      <c r="H47" s="3824"/>
      <c r="I47" s="3835"/>
      <c r="J47" s="3835"/>
      <c r="K47" s="3711"/>
      <c r="R47" s="3836"/>
      <c r="S47" s="421"/>
      <c r="T47" s="3819"/>
      <c r="U47" s="3819"/>
      <c r="V47" s="839"/>
      <c r="W47" s="839"/>
      <c r="X47" s="842" t="str">
        <f>Y46&amp;"-"&amp;AA46</f>
        <v>-</v>
      </c>
      <c r="Y47" s="573"/>
      <c r="Z47" s="210"/>
      <c r="AA47" s="573"/>
      <c r="AB47" s="210"/>
      <c r="AC47" s="839"/>
      <c r="AD47" s="839"/>
      <c r="AE47" s="842" t="str">
        <f>AF46&amp;"-"&amp;AH46</f>
        <v>-</v>
      </c>
      <c r="AF47" s="573"/>
      <c r="AG47" s="210"/>
      <c r="AH47" s="883"/>
      <c r="AI47" s="210"/>
      <c r="AJ47" s="1015"/>
      <c r="AK47" s="3941"/>
      <c r="AN47" s="3479" t="str">
        <f>IF(T47="","",T47)</f>
        <v/>
      </c>
      <c r="AQ47" s="3432">
        <v>0</v>
      </c>
    </row>
    <row customHeight="1" ht="21">
      <c r="A48" s="3857" t="s">
        <v>256</v>
      </c>
      <c r="B48" s="3857" t="s">
        <v>257</v>
      </c>
      <c r="C48" s="3857" t="s">
        <v>258</v>
      </c>
      <c r="D48" s="3857" t="s">
        <v>513</v>
      </c>
      <c r="E48" s="3824"/>
      <c r="F48" s="3824"/>
      <c r="G48" s="3824"/>
      <c r="H48" s="3824"/>
      <c r="I48" s="3835"/>
      <c r="J48" s="3711"/>
      <c r="R48" s="3831"/>
      <c r="S48" s="844"/>
      <c r="T48" s="848" t="s">
        <v>501</v>
      </c>
      <c r="U48" s="200"/>
      <c r="V48" s="200"/>
      <c r="W48" s="200"/>
      <c r="X48" s="200"/>
      <c r="Y48" s="200"/>
      <c r="Z48" s="200"/>
      <c r="AA48" s="200"/>
      <c r="AB48" s="200"/>
      <c r="AC48" s="200"/>
      <c r="AD48" s="200"/>
      <c r="AE48" s="200"/>
      <c r="AF48" s="200"/>
      <c r="AG48" s="200"/>
      <c r="AH48" s="200"/>
      <c r="AI48" s="200"/>
      <c r="AJ48" s="200"/>
      <c r="AK48" s="3823" t="s">
        <v>502</v>
      </c>
      <c r="AN48" s="3479" t="str">
        <f>IF(T48="","",T48)</f>
        <v>Добавить значение признака дифференциации</v>
      </c>
      <c r="AQ48" s="3432">
        <v>20</v>
      </c>
    </row>
    <row customHeight="1" ht="22.049999999999997">
      <c r="A49" s="3857" t="s">
        <v>256</v>
      </c>
      <c r="B49" s="3857" t="s">
        <v>257</v>
      </c>
      <c r="C49" s="3857" t="s">
        <v>258</v>
      </c>
      <c r="D49" s="3857" t="s">
        <v>513</v>
      </c>
      <c r="E49" s="3824"/>
      <c r="F49" s="3824"/>
      <c r="G49" s="3824"/>
      <c r="H49" s="3824"/>
      <c r="I49" s="3711"/>
      <c r="R49" s="3831"/>
      <c r="S49" s="844"/>
      <c r="T49" s="851" t="s">
        <v>427</v>
      </c>
      <c r="U49" s="200"/>
      <c r="V49" s="200"/>
      <c r="W49" s="200"/>
      <c r="X49" s="200"/>
      <c r="Y49" s="200"/>
      <c r="Z49" s="200"/>
      <c r="AA49" s="200"/>
      <c r="AB49" s="849"/>
      <c r="AC49" s="200"/>
      <c r="AD49" s="200"/>
      <c r="AE49" s="200"/>
      <c r="AF49" s="200"/>
      <c r="AG49" s="200"/>
      <c r="AH49" s="200"/>
      <c r="AI49" s="849"/>
      <c r="AJ49" s="200"/>
      <c r="AK49" s="1036"/>
      <c r="AN49" s="3479" t="str">
        <f>IF(T49="","",T49)</f>
        <v>Добавить группу потребителей</v>
      </c>
      <c r="AQ49" s="3432">
        <v>21</v>
      </c>
    </row>
    <row customHeight="1" ht="22.049999999999997">
      <c r="A50" s="3857" t="s">
        <v>256</v>
      </c>
      <c r="B50" s="3857" t="s">
        <v>257</v>
      </c>
      <c r="C50" s="3857" t="s">
        <v>258</v>
      </c>
      <c r="D50" s="3857" t="s">
        <v>513</v>
      </c>
      <c r="E50" s="3824"/>
      <c r="F50" s="3824"/>
      <c r="G50" s="3824"/>
      <c r="H50" s="3817"/>
      <c r="R50" s="816"/>
      <c r="S50" s="844"/>
      <c r="T50" s="994" t="s">
        <v>503</v>
      </c>
      <c r="U50" s="200"/>
      <c r="V50" s="200"/>
      <c r="W50" s="200"/>
      <c r="X50" s="200"/>
      <c r="Y50" s="200"/>
      <c r="Z50" s="200"/>
      <c r="AA50" s="200"/>
      <c r="AB50" s="849"/>
      <c r="AC50" s="200"/>
      <c r="AD50" s="200"/>
      <c r="AE50" s="200"/>
      <c r="AF50" s="200"/>
      <c r="AG50" s="200"/>
      <c r="AH50" s="200"/>
      <c r="AI50" s="849"/>
      <c r="AJ50" s="200"/>
      <c r="AK50" s="850"/>
      <c r="AN50" s="3479" t="str">
        <f>IF(T50="","",T50)</f>
        <v>Добавить наименование признака дифференциации</v>
      </c>
      <c r="AQ50" s="3432">
        <v>21</v>
      </c>
    </row>
    <row customHeight="1" ht="0">
      <c r="A51" s="3470" t="s">
        <v>256</v>
      </c>
      <c r="B51" s="3470" t="s">
        <v>257</v>
      </c>
      <c r="E51" s="3824"/>
      <c r="F51" s="3817"/>
      <c r="T51" s="856" t="s">
        <v>430</v>
      </c>
      <c r="AN51" s="3479" t="str">
        <f>IF(T51="","",T51)</f>
        <v>Добавить централизованную систему для дифференциации</v>
      </c>
      <c r="AQ51" s="3473">
        <v>0</v>
      </c>
    </row>
    <row customHeight="1" ht="0">
      <c r="A52" s="3470" t="s">
        <v>256</v>
      </c>
      <c r="E52" s="3817"/>
      <c r="T52" s="856" t="s">
        <v>431</v>
      </c>
      <c r="AN52" s="3479" t="str">
        <f>IF(T52="","",T52)</f>
        <v>Добавить территорию для дифференциации</v>
      </c>
      <c r="AQ52" s="3473">
        <v>0</v>
      </c>
    </row>
    <row customHeight="1" ht="0">
      <c r="T53" s="856" t="s">
        <v>463</v>
      </c>
      <c r="AN53" s="3479" t="str">
        <f>IF(T53="","",T53)</f>
        <v>Добавить наименование тарифа</v>
      </c>
      <c r="AQ53" s="3473">
        <v>0</v>
      </c>
    </row>
    <row customHeight="1" ht="11.549999999999999">
      <c r="AQ54" s="3432">
        <v>11</v>
      </c>
    </row>
    <row customHeight="1" ht="14.699999999999998">
      <c r="AQ55" s="3432">
        <v>14</v>
      </c>
    </row>
    <row customHeight="1" ht="14.699999999999998">
      <c r="AQ56" s="3432">
        <v>14</v>
      </c>
    </row>
    <row customHeight="1" ht="14.699999999999998">
      <c r="AQ57" s="3432">
        <v>14</v>
      </c>
    </row>
    <row customHeight="1" ht="22.5" hidden="1">
      <c r="A58" s="3449" t="s">
        <v>80</v>
      </c>
      <c r="B58" s="3449">
        <v>0</v>
      </c>
      <c r="C58" s="3449">
        <v>0</v>
      </c>
      <c r="D58" s="3449">
        <v>0</v>
      </c>
      <c r="E58" s="3449">
        <v>0</v>
      </c>
      <c r="F58" s="3449">
        <v>0</v>
      </c>
      <c r="G58" s="3449">
        <v>0</v>
      </c>
      <c r="H58" s="3449">
        <v>0</v>
      </c>
      <c r="I58" s="3449">
        <v>0</v>
      </c>
      <c r="J58" s="3449">
        <v>0</v>
      </c>
      <c r="K58" s="3449">
        <v>0</v>
      </c>
      <c r="L58" s="3618">
        <v>0</v>
      </c>
      <c r="M58" s="105">
        <v>0</v>
      </c>
      <c r="N58" s="105">
        <v>0</v>
      </c>
      <c r="O58" s="105">
        <v>0</v>
      </c>
      <c r="P58" s="782">
        <v>3</v>
      </c>
      <c r="Q58" s="3797">
        <v>3</v>
      </c>
      <c r="R58" s="3797">
        <v>3</v>
      </c>
      <c r="S58" s="3447">
        <v>12</v>
      </c>
      <c r="T58" s="3432">
        <v>35</v>
      </c>
      <c r="U58" s="3432">
        <v>0</v>
      </c>
      <c r="V58" s="3432">
        <v>0</v>
      </c>
      <c r="W58" s="3432">
        <v>0</v>
      </c>
      <c r="X58" s="3432">
        <v>0</v>
      </c>
      <c r="Y58" s="3432">
        <v>0</v>
      </c>
      <c r="Z58" s="3432">
        <v>0</v>
      </c>
      <c r="AA58" s="3432">
        <v>0</v>
      </c>
      <c r="AB58" s="3432">
        <v>0</v>
      </c>
      <c r="AC58" s="3432">
        <v>24</v>
      </c>
      <c r="AD58" s="3432">
        <v>24</v>
      </c>
      <c r="AE58" s="3432">
        <v>24</v>
      </c>
      <c r="AF58" s="3432">
        <v>11</v>
      </c>
      <c r="AG58" s="3432">
        <v>3</v>
      </c>
      <c r="AH58" s="3432">
        <v>11</v>
      </c>
      <c r="AI58" s="3432">
        <v>0</v>
      </c>
      <c r="AJ58" s="3432">
        <v>4</v>
      </c>
      <c r="AK58" s="3432">
        <v>115</v>
      </c>
      <c r="AL58" s="3473">
        <v>10</v>
      </c>
      <c r="AM58" s="3473">
        <v>10</v>
      </c>
      <c r="AN58" s="3473">
        <v>10</v>
      </c>
      <c r="AO58" s="3473">
        <v>10</v>
      </c>
      <c r="AP58" s="3473">
        <v>10</v>
      </c>
      <c r="AQ58" s="34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BD495-1D48-BE41-CFB2-6DB783B7626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7348" width="10.140625" hidden="1" customWidth="1"/>
    <col min="4" max="4" style="7348" width="11.8515625" hidden="1" customWidth="1"/>
    <col min="5" max="15" style="7348" width="10.140625" hidden="1" customWidth="1"/>
    <col min="16" max="18" style="7348" width="3.00390625" customWidth="1"/>
    <col min="19" max="19" style="7348" width="12.00390625" customWidth="1"/>
    <col min="20" max="20" style="7348" width="31.00390625" customWidth="1"/>
    <col min="21" max="21" style="7348" width="0.140625" customWidth="1"/>
    <col min="22" max="23" style="7348" width="21.7109375" hidden="1" customWidth="1"/>
    <col min="24" max="24" style="7348" width="11.7109375" hidden="1" customWidth="1"/>
    <col min="25" max="25" style="7348" width="3.7109375" hidden="1" customWidth="1"/>
    <col min="26" max="26" style="7348" width="11.7109375" hidden="1" customWidth="1"/>
    <col min="27" max="27" style="7348" width="8.57421875" hidden="1" customWidth="1"/>
    <col min="28" max="28" style="7348" width="27.00390625" customWidth="1"/>
    <col min="29" max="29" style="7348" width="24.57421875" customWidth="1"/>
    <col min="30" max="31" style="7348" width="21.00390625" customWidth="1"/>
    <col min="32" max="32" style="7348" width="11.00390625" customWidth="1"/>
    <col min="33" max="33" style="7348" width="3.7109375" customWidth="1"/>
    <col min="34" max="34" style="7348" width="11.00390625" customWidth="1"/>
    <col min="35" max="35" style="7348" width="8.57421875" hidden="1" customWidth="1"/>
    <col min="36" max="36" style="7348" width="4.00390625" customWidth="1"/>
    <col min="37" max="37" style="7348" width="115.00390625" customWidth="1"/>
    <col min="38" max="42" style="7348" width="10.00390625" customWidth="1"/>
    <col min="43" max="43" style="7348" width="10.57421875" hidden="1"/>
  </cols>
  <sheetData>
    <row customHeight="1" ht="0.75" hidden="1">
      <c r="AQ1" s="3432" t="s">
        <v>14</v>
      </c>
    </row>
    <row customHeight="1" ht="21" hidden="1">
      <c r="E2" s="3879">
        <v>1</v>
      </c>
      <c r="R2" s="816"/>
      <c r="S2" s="3818">
        <f>INDEX(PT_DIFFERENTIATION_NUM_NTAR,MATCH(A2,PT_DIFFERENTIATION_NTAR_ID,0))</f>
      </c>
      <c r="T2" s="3764" t="s">
        <v>141</v>
      </c>
      <c r="U2" s="3819"/>
      <c r="V2" s="3821"/>
      <c r="W2" s="3821"/>
      <c r="X2" s="3821"/>
      <c r="Y2" s="3821"/>
      <c r="Z2" s="3821"/>
      <c r="AA2" s="3822"/>
      <c r="AB2" s="3821"/>
      <c r="AC2" s="3821">
        <f>INDEX(PT_DIFFERENTIATION_NTAR,MATCH(A2,PT_DIFFERENTIATION_NTAR_ID,0))</f>
      </c>
      <c r="AD2" s="3821"/>
      <c r="AE2" s="3821"/>
      <c r="AF2" s="3821"/>
      <c r="AG2" s="3821"/>
      <c r="AH2" s="3821"/>
      <c r="AI2" s="3821"/>
      <c r="AJ2" s="3822"/>
      <c r="AK2" s="3823" t="s">
        <v>411</v>
      </c>
      <c r="AN2" s="3479" t="str">
        <f>IF(T2="","",T2)</f>
        <v>Наименование тарифа</v>
      </c>
      <c r="AQ2" s="3432">
        <v>0</v>
      </c>
    </row>
    <row customHeight="1" ht="21" hidden="1">
      <c r="E3" s="3880"/>
      <c r="F3" s="3879">
        <v>1</v>
      </c>
      <c r="Q3" s="3890"/>
      <c r="R3" s="3826"/>
      <c r="S3" s="3818">
        <f>INDEX(PT_DIFFERENTIATION_NUM_TER,MATCH(B3,PT_DIFFERENTIATION_TER_ID,0))</f>
      </c>
      <c r="T3" s="3827" t="s">
        <v>412</v>
      </c>
      <c r="U3" s="3819"/>
      <c r="V3" s="3821"/>
      <c r="W3" s="3821"/>
      <c r="X3" s="3821"/>
      <c r="Y3" s="3821"/>
      <c r="Z3" s="3821"/>
      <c r="AA3" s="3822"/>
      <c r="AB3" s="3821"/>
      <c r="AC3" s="3821">
        <f>INDEX(PT_DIFFERENTIATION_TER,MATCH(B3,PT_DIFFERENTIATION_TER_ID,0))</f>
      </c>
      <c r="AD3" s="3821"/>
      <c r="AE3" s="3821"/>
      <c r="AF3" s="3821"/>
      <c r="AG3" s="3821"/>
      <c r="AH3" s="3821"/>
      <c r="AI3" s="3821"/>
      <c r="AJ3" s="3822"/>
      <c r="AK3" s="3823" t="s">
        <v>413</v>
      </c>
      <c r="AN3" s="3479" t="str">
        <f>IF(T3="","",T3)</f>
        <v>Территория действия тарифа</v>
      </c>
      <c r="AQ3" s="3432">
        <v>0</v>
      </c>
    </row>
    <row customHeight="1" ht="22.5" hidden="1">
      <c r="E4" s="3880"/>
      <c r="F4" s="3880"/>
      <c r="G4" s="3879">
        <v>1</v>
      </c>
      <c r="Q4" s="3890"/>
      <c r="R4" s="3826"/>
      <c r="S4" s="3818">
        <f>INDEX(PT_DIFFERENTIATION_NUM_CS,MATCH(C4,PT_DIFFERENTIATION_CS_ID,0))</f>
      </c>
      <c r="T4" s="3828" t="s">
        <v>414</v>
      </c>
      <c r="U4" s="3819"/>
      <c r="V4" s="3821"/>
      <c r="W4" s="3821"/>
      <c r="X4" s="3821"/>
      <c r="Y4" s="3821"/>
      <c r="Z4" s="3821"/>
      <c r="AA4" s="3822"/>
      <c r="AB4" s="3821"/>
      <c r="AC4" s="3821">
        <f>INDEX(PT_DIFFERENTIATION_CS,MATCH(C4,PT_DIFFERENTIATION_CS_ID,0))</f>
      </c>
      <c r="AD4" s="3821"/>
      <c r="AE4" s="3821"/>
      <c r="AF4" s="3821"/>
      <c r="AG4" s="3821"/>
      <c r="AH4" s="3821"/>
      <c r="AI4" s="3821"/>
      <c r="AJ4" s="3822"/>
      <c r="AK4" s="3823" t="s">
        <v>415</v>
      </c>
      <c r="AN4" s="3479" t="str">
        <f>IF(T4="","",T4)</f>
        <v>Наименование системы теплоснабжения </v>
      </c>
      <c r="AQ4" s="3432">
        <v>0</v>
      </c>
    </row>
    <row customHeight="1" ht="21" hidden="1">
      <c r="E5" s="3880"/>
      <c r="F5" s="3880"/>
      <c r="G5" s="3880"/>
      <c r="H5" s="3879">
        <v>1</v>
      </c>
      <c r="Q5" s="3890"/>
      <c r="R5" s="3826"/>
      <c r="S5" s="3818">
        <f>INDEX(PT_DIFFERENTIATION_NUM_IST_TE,MATCH(D5,PT_DIFFERENTIATION_IST_TE_ID,0))</f>
      </c>
      <c r="T5" s="3829" t="s">
        <v>416</v>
      </c>
      <c r="U5" s="3819"/>
      <c r="V5" s="3821"/>
      <c r="W5" s="3821"/>
      <c r="X5" s="3821"/>
      <c r="Y5" s="3821"/>
      <c r="Z5" s="3821"/>
      <c r="AA5" s="3822"/>
      <c r="AB5" s="3821"/>
      <c r="AC5" s="3821">
        <f>INDEX(PT_DIFFERENTIATION_IST_TE,MATCH(D5,PT_DIFFERENTIATION_IST_TE_ID,0))</f>
      </c>
      <c r="AD5" s="3821"/>
      <c r="AE5" s="3821"/>
      <c r="AF5" s="3821"/>
      <c r="AG5" s="3821"/>
      <c r="AH5" s="3821"/>
      <c r="AI5" s="3821"/>
      <c r="AJ5" s="3822"/>
      <c r="AK5" s="3823" t="s">
        <v>417</v>
      </c>
      <c r="AN5" s="3479" t="str">
        <f>IF(T5="","",T5)</f>
        <v>Источник тепловой энергии  </v>
      </c>
      <c r="AQ5" s="3432">
        <v>0</v>
      </c>
    </row>
    <row customHeight="1" ht="0.75" hidden="1">
      <c r="E6" s="3880"/>
      <c r="F6" s="3880"/>
      <c r="G6" s="3880"/>
      <c r="H6" s="3880"/>
      <c r="I6" s="3480">
        <f>S5&amp;".1"</f>
      </c>
      <c r="L6" s="3889" t="s">
        <v>418</v>
      </c>
      <c r="P6" s="3471">
        <v>1</v>
      </c>
      <c r="R6" s="3831"/>
      <c r="S6" s="3582"/>
      <c r="T6" s="3860"/>
      <c r="U6" s="3861"/>
      <c r="V6" s="3863"/>
      <c r="W6" s="3863"/>
      <c r="X6" s="3863"/>
      <c r="Y6" s="3863"/>
      <c r="Z6" s="3863"/>
      <c r="AA6" s="3864"/>
      <c r="AB6" s="3863"/>
      <c r="AC6" s="3863"/>
      <c r="AD6" s="3863"/>
      <c r="AE6" s="3863"/>
      <c r="AF6" s="3863"/>
      <c r="AG6" s="3863"/>
      <c r="AH6" s="3863"/>
      <c r="AI6" s="3863"/>
      <c r="AJ6" s="3864"/>
      <c r="AK6" s="3865"/>
      <c r="AN6" s="3479" t="str">
        <f>IF(T6="","",T6)</f>
        <v/>
      </c>
      <c r="AQ6" s="3473">
        <v>0</v>
      </c>
    </row>
    <row customHeight="1" ht="0.75" hidden="1">
      <c r="E7" s="3880"/>
      <c r="F7" s="3880"/>
      <c r="G7" s="3880"/>
      <c r="H7" s="3880"/>
      <c r="I7" s="3437"/>
      <c r="J7" s="3480">
        <f>S5&amp;".1"</f>
      </c>
      <c r="Q7" s="3471">
        <v>1</v>
      </c>
      <c r="R7" s="3836"/>
      <c r="S7" s="3582"/>
      <c r="T7" s="3891"/>
      <c r="U7" s="3861"/>
      <c r="V7" s="3863"/>
      <c r="W7" s="3863"/>
      <c r="X7" s="3863"/>
      <c r="Y7" s="3863"/>
      <c r="Z7" s="3863"/>
      <c r="AA7" s="3864"/>
      <c r="AB7" s="3863"/>
      <c r="AC7" s="3863"/>
      <c r="AD7" s="3863"/>
      <c r="AE7" s="3863"/>
      <c r="AF7" s="3863"/>
      <c r="AG7" s="3863"/>
      <c r="AH7" s="3863"/>
      <c r="AI7" s="3863"/>
      <c r="AJ7" s="3864"/>
      <c r="AK7" s="3865"/>
      <c r="AN7" s="3479" t="str">
        <f>IF(T7="","",T7)</f>
        <v/>
      </c>
      <c r="AQ7" s="3473">
        <v>0</v>
      </c>
    </row>
    <row customHeight="1" ht="21" hidden="1">
      <c r="E8" s="3880"/>
      <c r="F8" s="3880"/>
      <c r="G8" s="3880"/>
      <c r="H8" s="3880"/>
      <c r="I8" s="3437"/>
      <c r="J8" s="3437"/>
      <c r="K8" s="3480">
        <f>S5&amp;".1"</f>
      </c>
      <c r="R8" s="3892">
        <v>1</v>
      </c>
      <c r="S8" s="3867">
        <f>$K8</f>
      </c>
      <c r="T8" s="937"/>
      <c r="U8" s="3819"/>
      <c r="V8" s="838"/>
      <c r="W8" s="840"/>
      <c r="X8" s="572"/>
      <c r="Y8" s="210" t="s">
        <v>61</v>
      </c>
      <c r="Z8" s="572"/>
      <c r="AA8" s="210" t="s">
        <v>61</v>
      </c>
      <c r="AB8" s="986"/>
      <c r="AC8" s="987" t="s">
        <v>22</v>
      </c>
      <c r="AD8" s="838"/>
      <c r="AE8" s="840"/>
      <c r="AF8" s="572"/>
      <c r="AG8" s="210" t="s">
        <v>61</v>
      </c>
      <c r="AH8" s="572"/>
      <c r="AI8" s="210" t="s">
        <v>61</v>
      </c>
      <c r="AJ8" s="882"/>
      <c r="AK8" s="3839" t="s">
        <v>479</v>
      </c>
      <c r="AL8" s="3473">
        <f>STRCHECKDATE(#REF!)</f>
      </c>
      <c r="AN8" s="3479" t="str">
        <f>IF(T8="","",T8)</f>
        <v/>
      </c>
      <c r="AQ8" s="3432">
        <v>0</v>
      </c>
    </row>
    <row customHeight="1" ht="11.25" hidden="1">
      <c r="E9" s="3880"/>
      <c r="F9" s="3880"/>
      <c r="G9" s="3880"/>
      <c r="H9" s="3880"/>
      <c r="I9" s="3437"/>
      <c r="J9" s="3480"/>
      <c r="R9" s="3831"/>
      <c r="S9" s="844"/>
      <c r="T9" s="848" t="s">
        <v>483</v>
      </c>
      <c r="U9" s="200"/>
      <c r="V9" s="200"/>
      <c r="W9" s="200"/>
      <c r="X9" s="200"/>
      <c r="Y9" s="200"/>
      <c r="Z9" s="200"/>
      <c r="AA9" s="200"/>
      <c r="AB9" s="200"/>
      <c r="AC9" s="200"/>
      <c r="AD9" s="200"/>
      <c r="AE9" s="200"/>
      <c r="AF9" s="200"/>
      <c r="AG9" s="200"/>
      <c r="AH9" s="200"/>
      <c r="AI9" s="200"/>
      <c r="AJ9" s="846"/>
      <c r="AK9" s="3841"/>
      <c r="AN9" s="3479" t="str">
        <f>IF(T9="","",T9)</f>
        <v>Добавить строку</v>
      </c>
      <c r="AQ9" s="3432">
        <v>0</v>
      </c>
    </row>
    <row customHeight="1" ht="0.75" hidden="1">
      <c r="E10" s="3880"/>
      <c r="F10" s="3880"/>
      <c r="G10" s="3880"/>
      <c r="H10" s="3880"/>
      <c r="I10" s="3480"/>
      <c r="R10" s="3831"/>
      <c r="S10" s="894"/>
      <c r="T10" s="895"/>
      <c r="U10" s="896"/>
      <c r="V10" s="896"/>
      <c r="W10" s="896"/>
      <c r="X10" s="896"/>
      <c r="Y10" s="896"/>
      <c r="Z10" s="896"/>
      <c r="AA10" s="896"/>
      <c r="AB10" s="896"/>
      <c r="AC10" s="896"/>
      <c r="AD10" s="896"/>
      <c r="AE10" s="896"/>
      <c r="AF10" s="896"/>
      <c r="AG10" s="896"/>
      <c r="AH10" s="896"/>
      <c r="AI10" s="896"/>
      <c r="AJ10" s="896"/>
      <c r="AK10" s="897"/>
      <c r="AN10" s="3479" t="str">
        <f>IF(T10="","",T10)</f>
        <v/>
      </c>
      <c r="AQ10" s="3473">
        <v>0</v>
      </c>
    </row>
    <row customHeight="1" ht="0.75" hidden="1">
      <c r="E11" s="3880"/>
      <c r="F11" s="3880"/>
      <c r="G11" s="3880"/>
      <c r="H11" s="3879"/>
      <c r="R11" s="950"/>
      <c r="S11" s="894"/>
      <c r="T11" s="895"/>
      <c r="U11" s="896"/>
      <c r="V11" s="896"/>
      <c r="W11" s="896"/>
      <c r="X11" s="896"/>
      <c r="Y11" s="896"/>
      <c r="Z11" s="896"/>
      <c r="AA11" s="896"/>
      <c r="AB11" s="896"/>
      <c r="AC11" s="896"/>
      <c r="AD11" s="896"/>
      <c r="AE11" s="896"/>
      <c r="AF11" s="896"/>
      <c r="AG11" s="896"/>
      <c r="AH11" s="896"/>
      <c r="AI11" s="896"/>
      <c r="AJ11" s="896"/>
      <c r="AK11" s="897"/>
      <c r="AN11" s="3479" t="str">
        <f>IF(T11="","",T11)</f>
        <v/>
      </c>
      <c r="AQ11" s="3473">
        <v>0</v>
      </c>
    </row>
    <row customHeight="1" ht="0.75" hidden="1">
      <c r="E12" s="3880"/>
      <c r="F12" s="3880"/>
      <c r="G12" s="3879"/>
      <c r="T12" s="856" t="s">
        <v>429</v>
      </c>
      <c r="AN12" s="3479" t="str">
        <f>IF(T12="","",T12)</f>
        <v>Добавить источник для дифференциации</v>
      </c>
      <c r="AQ12" s="3473">
        <v>0</v>
      </c>
    </row>
    <row customHeight="1" ht="0.75" hidden="1">
      <c r="E13" s="3880"/>
      <c r="F13" s="3879"/>
      <c r="T13" s="856" t="s">
        <v>430</v>
      </c>
      <c r="AN13" s="3479" t="str">
        <f>IF(T13="","",T13)</f>
        <v>Добавить централизованную систему для дифференциации</v>
      </c>
      <c r="AQ13" s="3473">
        <v>0</v>
      </c>
    </row>
    <row customHeight="1" ht="0.75" hidden="1">
      <c r="E14" s="3879"/>
      <c r="T14" s="856" t="s">
        <v>431</v>
      </c>
      <c r="AN14" s="3479" t="str">
        <f>IF(T14="","",T14)</f>
        <v>Добавить территорию для дифференциации</v>
      </c>
      <c r="AQ14" s="3473">
        <v>0</v>
      </c>
    </row>
    <row customHeight="1" ht="14.25" hidden="1">
      <c r="AQ15" s="3432">
        <v>0</v>
      </c>
    </row>
    <row customHeight="1" ht="14.25" hidden="1">
      <c r="AD16" s="701"/>
      <c r="AE16" s="953"/>
      <c r="AF16" s="954"/>
      <c r="AG16" s="742" t="s">
        <v>61</v>
      </c>
      <c r="AH16" s="954"/>
      <c r="AI16" s="742" t="s">
        <v>61</v>
      </c>
      <c r="AQ16" s="3432">
        <v>0</v>
      </c>
    </row>
    <row customHeight="1" ht="14.25" hidden="1">
      <c r="AQ17" s="3432">
        <v>0</v>
      </c>
    </row>
    <row customHeight="1" ht="14.25" hidden="1">
      <c r="O18" s="929" t="s">
        <v>432</v>
      </c>
      <c r="X18" s="929"/>
      <c r="Z18" s="929"/>
      <c r="AF18" s="929"/>
      <c r="AH18" s="929"/>
      <c r="AQ18" s="3432">
        <v>0</v>
      </c>
    </row>
    <row customHeight="1" ht="14.25" hidden="1">
      <c r="AQ19" s="3432">
        <v>0</v>
      </c>
    </row>
    <row customHeight="1" ht="14.25" hidden="1">
      <c r="O20" s="3916" t="s">
        <v>433</v>
      </c>
      <c r="Y20" s="3897" t="s">
        <v>435</v>
      </c>
      <c r="AA20" s="3897" t="s">
        <v>436</v>
      </c>
      <c r="AC20" s="3897" t="s">
        <v>485</v>
      </c>
      <c r="AG20" s="3897" t="s">
        <v>435</v>
      </c>
      <c r="AI20" s="3897" t="s">
        <v>436</v>
      </c>
      <c r="AQ20" s="3897">
        <v>0</v>
      </c>
    </row>
    <row customHeight="1" ht="14.25" hidden="1">
      <c r="AQ21" s="3432">
        <v>0</v>
      </c>
    </row>
    <row customHeight="1" ht="14.25" hidden="1">
      <c r="AQ22" s="3432">
        <v>0</v>
      </c>
    </row>
    <row customHeight="1" ht="14.699999999999998">
      <c r="Q23" s="3898"/>
      <c r="R23" s="3719"/>
      <c r="S23" s="3842"/>
      <c r="T23" s="3450"/>
      <c r="U23" s="3450"/>
      <c r="AQ23" s="3432">
        <v>14</v>
      </c>
    </row>
    <row customHeight="1" ht="39.75">
      <c r="Q24" s="3898"/>
      <c r="R24" s="3719"/>
      <c r="S24" s="3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646"/>
      <c r="U24" s="3646"/>
      <c r="V24" s="3646"/>
      <c r="W24" s="3646"/>
      <c r="X24" s="3646"/>
      <c r="Y24" s="3646"/>
      <c r="Z24" s="3646"/>
      <c r="AA24" s="3646"/>
      <c r="AB24" s="3646"/>
      <c r="AC24" s="3646"/>
      <c r="AD24" s="3646"/>
      <c r="AE24" s="3646"/>
      <c r="AF24" s="3646"/>
      <c r="AG24" s="3646"/>
      <c r="AH24" s="3646"/>
      <c r="AQ24" s="3432">
        <v>38</v>
      </c>
    </row>
    <row customHeight="1" ht="14.699999999999998">
      <c r="Q25" s="3898"/>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Q25" s="3432">
        <v>14</v>
      </c>
    </row>
    <row customHeight="1" ht="14.25" hidden="1">
      <c r="Q26" s="3898"/>
      <c r="R26" s="3719"/>
      <c r="S26" s="3842"/>
      <c r="T26" s="3450"/>
      <c r="U26" s="3450"/>
      <c r="V26" s="3804"/>
      <c r="W26" s="3804"/>
      <c r="X26" s="3804"/>
      <c r="Y26" s="3804"/>
      <c r="Z26" s="3804"/>
      <c r="AA26" s="3804"/>
      <c r="AB26" s="3804"/>
      <c r="AC26" s="3804"/>
      <c r="AD26" s="3804"/>
      <c r="AE26" s="3804"/>
      <c r="AF26" s="3804"/>
      <c r="AG26" s="3804"/>
      <c r="AH26" s="3804"/>
      <c r="AI26" s="3804"/>
      <c r="AQ26" s="3432">
        <v>0</v>
      </c>
    </row>
    <row customHeight="1" ht="25.5" hidden="1">
      <c r="S27" s="3843" t="s">
        <v>41</v>
      </c>
      <c r="T27" s="3843"/>
      <c r="U27" s="3844"/>
      <c r="V27" s="3806" t="str">
        <f>IF(TITLE_NAME_OR_PR_CHANGE="",IF(TITLE_NAME_OR_PR="","",TITLE_NAME_OR_PR),TITLE_NAME_OR_PR_CHANGE)</f>
        <v/>
      </c>
      <c r="W27" s="3806"/>
      <c r="X27" s="3806"/>
      <c r="Y27" s="3806"/>
      <c r="Z27" s="3806"/>
      <c r="AC27" s="3806"/>
      <c r="AD27" s="3806"/>
      <c r="AE27" s="3806"/>
      <c r="AF27" s="3806"/>
      <c r="AG27" s="3806"/>
      <c r="AH27" s="3806"/>
      <c r="AQ27" s="3489">
        <v>0</v>
      </c>
    </row>
    <row customHeight="1" ht="18.75" hidden="1">
      <c r="S28" s="3843" t="s">
        <v>438</v>
      </c>
      <c r="T28" s="3843"/>
      <c r="U28" s="3844"/>
      <c r="V28" s="795" t="str">
        <f>IF(TITLE_DATE_PR_CHANGE="",IF(TITLE_DATE_PR="","",TITLE_DATE_PR),TITLE_DATE_PR_CHANGE)</f>
        <v/>
      </c>
      <c r="W28" s="795"/>
      <c r="X28" s="795"/>
      <c r="Y28" s="795"/>
      <c r="Z28" s="795"/>
      <c r="AC28" s="795"/>
      <c r="AD28" s="795"/>
      <c r="AE28" s="795"/>
      <c r="AF28" s="795"/>
      <c r="AG28" s="795"/>
      <c r="AH28" s="795"/>
      <c r="AQ28" s="3489">
        <v>0</v>
      </c>
    </row>
    <row customHeight="1" ht="18.75" hidden="1">
      <c r="S29" s="3843" t="s">
        <v>439</v>
      </c>
      <c r="T29" s="3843"/>
      <c r="U29" s="3844"/>
      <c r="V29" s="3806" t="str">
        <f>IF(TITLE_NUMBER_PR_CHANGE="",IF(TITLE_NUMBER_PR="","",TITLE_NUMBER_PR),TITLE_NUMBER_PR_CHANGE)</f>
        <v/>
      </c>
      <c r="W29" s="3806"/>
      <c r="X29" s="3806"/>
      <c r="Y29" s="3806"/>
      <c r="Z29" s="3806"/>
      <c r="AC29" s="3806"/>
      <c r="AD29" s="3806"/>
      <c r="AE29" s="3806"/>
      <c r="AF29" s="3806"/>
      <c r="AG29" s="3806"/>
      <c r="AH29" s="3806"/>
      <c r="AQ29" s="3489">
        <v>0</v>
      </c>
    </row>
    <row customHeight="1" ht="18.75" hidden="1">
      <c r="S30" s="3843" t="s">
        <v>42</v>
      </c>
      <c r="T30" s="3843"/>
      <c r="U30" s="3844"/>
      <c r="V30" s="3806" t="str">
        <f>IF(TITLE_IST_PUB_CHANGE="",IF(TITLE_IST_PUB="","",TITLE_IST_PUB),TITLE_IST_PUB_CHANGE)</f>
        <v/>
      </c>
      <c r="W30" s="3806"/>
      <c r="X30" s="3806"/>
      <c r="Y30" s="3806"/>
      <c r="Z30" s="3806"/>
      <c r="AC30" s="3806"/>
      <c r="AD30" s="3806"/>
      <c r="AE30" s="3806"/>
      <c r="AF30" s="3806"/>
      <c r="AG30" s="3806"/>
      <c r="AH30" s="3806"/>
      <c r="AQ30" s="3489">
        <v>0</v>
      </c>
    </row>
    <row customHeight="1" ht="14.25" hidden="1">
      <c r="Q31" s="3898"/>
      <c r="R31" s="3719"/>
      <c r="S31" s="3842"/>
      <c r="T31" s="3450"/>
      <c r="U31" s="3450"/>
      <c r="V31" s="3804"/>
      <c r="W31" s="3804"/>
      <c r="X31" s="3804"/>
      <c r="Y31" s="3804"/>
      <c r="Z31" s="3804"/>
      <c r="AA31" s="3804"/>
      <c r="AB31" s="3804"/>
      <c r="AC31" s="3804"/>
      <c r="AD31" s="3804"/>
      <c r="AE31" s="3804"/>
      <c r="AF31" s="3804"/>
      <c r="AG31" s="3804"/>
      <c r="AH31" s="3804"/>
      <c r="AI31" s="3804"/>
      <c r="AQ31" s="3432">
        <v>0</v>
      </c>
    </row>
    <row customHeight="1" ht="18.75" hidden="1">
      <c r="S32" s="3843" t="s">
        <v>438</v>
      </c>
      <c r="T32" s="3843"/>
      <c r="U32" s="3844"/>
      <c r="V32" s="795" t="str">
        <f>IF(TITLE_DATE_PR_CHANGE="",IF(TITLE_DATE_PR="","",TITLE_DATE_PR),TITLE_DATE_PR_CHANGE)</f>
        <v/>
      </c>
      <c r="W32" s="795"/>
      <c r="X32" s="795"/>
      <c r="Y32" s="795"/>
      <c r="Z32" s="795"/>
      <c r="AC32" s="795"/>
      <c r="AD32" s="795"/>
      <c r="AE32" s="795"/>
      <c r="AF32" s="795"/>
      <c r="AG32" s="795"/>
      <c r="AH32" s="795"/>
      <c r="AQ32" s="3489">
        <v>0</v>
      </c>
    </row>
    <row customHeight="1" ht="18" hidden="1">
      <c r="S33" s="3843" t="s">
        <v>439</v>
      </c>
      <c r="T33" s="3843"/>
      <c r="U33" s="3844"/>
      <c r="V33" s="3806" t="str">
        <f>IF(TITLE_NUMBER_PR_CHANGE="",IF(TITLE_NUMBER_PR="","",TITLE_NUMBER_PR),TITLE_NUMBER_PR_CHANGE)</f>
        <v/>
      </c>
      <c r="W33" s="3806"/>
      <c r="X33" s="3806"/>
      <c r="Y33" s="3806"/>
      <c r="Z33" s="3806"/>
      <c r="AC33" s="3806"/>
      <c r="AD33" s="3806"/>
      <c r="AE33" s="3806"/>
      <c r="AF33" s="3806"/>
      <c r="AG33" s="3806"/>
      <c r="AH33" s="3806"/>
      <c r="AQ33" s="3489">
        <v>0</v>
      </c>
    </row>
    <row customHeight="1" ht="1.05">
      <c r="AA34" s="3473" t="s">
        <v>442</v>
      </c>
      <c r="AI34" s="3473" t="s">
        <v>442</v>
      </c>
      <c r="AQ34" s="3489">
        <v>1</v>
      </c>
    </row>
    <row customHeight="1" ht="14.699999999999998">
      <c r="Q35" s="3898"/>
      <c r="R35" s="3719"/>
      <c r="S35" s="3842"/>
      <c r="T35" s="3450"/>
      <c r="U35" s="3845"/>
      <c r="V35" s="3846"/>
      <c r="W35" s="3846"/>
      <c r="X35" s="3846"/>
      <c r="Y35" s="3846"/>
      <c r="Z35" s="3846"/>
      <c r="AA35" s="3846"/>
      <c r="AB35" s="3846"/>
      <c r="AC35" s="3846"/>
      <c r="AD35" s="3846"/>
      <c r="AE35" s="3846"/>
      <c r="AF35" s="3846"/>
      <c r="AG35" s="3846"/>
      <c r="AH35" s="3846"/>
      <c r="AI35" s="3846"/>
      <c r="AQ35" s="3432">
        <v>14</v>
      </c>
    </row>
    <row customHeight="1" ht="14.699999999999998">
      <c r="Q36" s="3898"/>
      <c r="R36" s="3719"/>
      <c r="S36" s="3480" t="s">
        <v>315</v>
      </c>
      <c r="T36" s="3480"/>
      <c r="U36" s="3480"/>
      <c r="V36" s="3480"/>
      <c r="W36" s="3480"/>
      <c r="X36" s="3480"/>
      <c r="Y36" s="3480"/>
      <c r="Z36" s="3480"/>
      <c r="AA36" s="3558"/>
      <c r="AB36" s="3558"/>
      <c r="AC36" s="3558"/>
      <c r="AD36" s="3480"/>
      <c r="AE36" s="3480"/>
      <c r="AF36" s="3480"/>
      <c r="AG36" s="3480"/>
      <c r="AH36" s="3480"/>
      <c r="AI36" s="3480"/>
      <c r="AJ36" s="3480"/>
      <c r="AK36" s="3480" t="s">
        <v>316</v>
      </c>
      <c r="AQ36" s="3432">
        <v>14</v>
      </c>
    </row>
    <row customHeight="1" ht="14.699999999999998">
      <c r="Q37" s="3898"/>
      <c r="R37" s="3719"/>
      <c r="S37" s="3818" t="s">
        <v>86</v>
      </c>
      <c r="T37" s="3579" t="s">
        <v>514</v>
      </c>
      <c r="U37" s="3793"/>
      <c r="V37" s="3848"/>
      <c r="W37" s="3848"/>
      <c r="X37" s="3848"/>
      <c r="Y37" s="3848"/>
      <c r="Z37" s="3848"/>
      <c r="AA37" s="3579" t="s">
        <v>445</v>
      </c>
      <c r="AB37" s="3578" t="s">
        <v>515</v>
      </c>
      <c r="AC37" s="3578" t="s">
        <v>489</v>
      </c>
      <c r="AD37" s="3858" t="s">
        <v>444</v>
      </c>
      <c r="AE37" s="3858"/>
      <c r="AF37" s="3848"/>
      <c r="AG37" s="3848"/>
      <c r="AH37" s="3849"/>
      <c r="AI37" s="3807" t="s">
        <v>445</v>
      </c>
      <c r="AJ37" s="868" t="s">
        <v>447</v>
      </c>
      <c r="AK37" s="3480"/>
      <c r="AQ37" s="3432">
        <v>14</v>
      </c>
    </row>
    <row customHeight="1" ht="35.699999999999996">
      <c r="Q38" s="3898"/>
      <c r="R38" s="3719"/>
      <c r="S38" s="3818"/>
      <c r="T38" s="3579"/>
      <c r="U38" s="3798"/>
      <c r="V38" s="3436" t="s">
        <v>492</v>
      </c>
      <c r="W38" s="3480"/>
      <c r="X38" s="3555" t="s">
        <v>451</v>
      </c>
      <c r="Y38" s="3886"/>
      <c r="Z38" s="3886"/>
      <c r="AA38" s="3579"/>
      <c r="AB38" s="3578"/>
      <c r="AC38" s="3578"/>
      <c r="AD38" s="3436" t="s">
        <v>492</v>
      </c>
      <c r="AE38" s="3480"/>
      <c r="AF38" s="3886" t="s">
        <v>451</v>
      </c>
      <c r="AG38" s="3886"/>
      <c r="AH38" s="3556"/>
      <c r="AI38" s="3851"/>
      <c r="AJ38" s="871"/>
      <c r="AK38" s="3480"/>
      <c r="AQ38" s="3432">
        <v>34</v>
      </c>
    </row>
    <row customHeight="1" ht="14.699999999999998">
      <c r="Q39" s="3898"/>
      <c r="R39" s="3719"/>
      <c r="S39" s="3818"/>
      <c r="T39" s="3579"/>
      <c r="U39" s="3798"/>
      <c r="V39" s="3906" t="str">
        <f>IF($AD$39&lt;&gt;"",$AD$39,"")</f>
        <v/>
      </c>
      <c r="W39" s="3906"/>
      <c r="X39" s="3561"/>
      <c r="Y39" s="3887"/>
      <c r="Z39" s="3887"/>
      <c r="AA39" s="3579"/>
      <c r="AB39" s="3578"/>
      <c r="AC39" s="3578"/>
      <c r="AD39" s="3917"/>
      <c r="AE39" s="3907"/>
      <c r="AF39" s="3887"/>
      <c r="AG39" s="3887"/>
      <c r="AH39" s="3562"/>
      <c r="AI39" s="3851"/>
      <c r="AJ39" s="871"/>
      <c r="AK39" s="3480"/>
      <c r="AQ39" s="3432">
        <v>14</v>
      </c>
    </row>
    <row customHeight="1" ht="14.699999999999998">
      <c r="B40" s="3510" t="s">
        <v>153</v>
      </c>
      <c r="C40" s="3510" t="s">
        <v>154</v>
      </c>
      <c r="D40" s="3510" t="s">
        <v>155</v>
      </c>
      <c r="E40" s="3881" t="s">
        <v>452</v>
      </c>
      <c r="F40" s="3881" t="s">
        <v>453</v>
      </c>
      <c r="G40" s="3881" t="s">
        <v>454</v>
      </c>
      <c r="H40" s="3881" t="s">
        <v>455</v>
      </c>
      <c r="I40" s="3881" t="s">
        <v>456</v>
      </c>
      <c r="J40" s="3881" t="s">
        <v>457</v>
      </c>
      <c r="K40" s="3881" t="s">
        <v>458</v>
      </c>
      <c r="L40" s="3881" t="s">
        <v>433</v>
      </c>
      <c r="Q40" s="3898"/>
      <c r="R40" s="3719"/>
      <c r="S40" s="3818"/>
      <c r="T40" s="3579"/>
      <c r="U40" s="3852"/>
      <c r="V40" s="3579" t="s">
        <v>493</v>
      </c>
      <c r="W40" s="3579" t="s">
        <v>494</v>
      </c>
      <c r="X40" s="3525" t="s">
        <v>461</v>
      </c>
      <c r="Y40" s="3626" t="s">
        <v>462</v>
      </c>
      <c r="Z40" s="3627"/>
      <c r="AA40" s="3579"/>
      <c r="AB40" s="3578"/>
      <c r="AC40" s="3578"/>
      <c r="AD40" s="3918" t="s">
        <v>493</v>
      </c>
      <c r="AE40" s="3810" t="s">
        <v>494</v>
      </c>
      <c r="AF40" s="3525" t="s">
        <v>461</v>
      </c>
      <c r="AG40" s="3626" t="s">
        <v>462</v>
      </c>
      <c r="AH40" s="3628"/>
      <c r="AI40" s="3810"/>
      <c r="AJ40" s="873"/>
      <c r="AK40" s="3480"/>
      <c r="AQ40" s="3432">
        <v>14</v>
      </c>
    </row>
    <row customHeight="1" ht="11.25" hidden="1">
      <c r="Q41" s="3854"/>
      <c r="R41" s="3854">
        <v>1</v>
      </c>
      <c r="S41" s="876" t="s">
        <v>107</v>
      </c>
      <c r="T41" s="877" t="s">
        <v>108</v>
      </c>
      <c r="U41" s="3855" t="str">
        <f>OFFSET(U41,0,-1)</f>
        <v>2</v>
      </c>
      <c r="V41" s="3856">
        <f>OFFSET(V41,0,-1)+1</f>
        <v>3</v>
      </c>
      <c r="W41" s="3856">
        <f>OFFSET(W41,0,-1)+1</f>
        <v>4</v>
      </c>
      <c r="X41" s="3856">
        <f>OFFSET(X41,0,-1)+1</f>
        <v>5</v>
      </c>
      <c r="Y41" s="3856">
        <f>OFFSET(Y41,0,-1)+1</f>
        <v>6</v>
      </c>
      <c r="Z41" s="3856"/>
      <c r="AA41" s="3636">
        <f>OFFSET(AA41,0,-2)+1</f>
        <v>7</v>
      </c>
      <c r="AB41" s="3636"/>
      <c r="AC41" s="3636"/>
      <c r="AD41" s="3856">
        <f>OFFSET(AD41,0,-1)+1</f>
        <v>1</v>
      </c>
      <c r="AE41" s="3856">
        <f>OFFSET(AE41,0,-1)+1</f>
        <v>2</v>
      </c>
      <c r="AF41" s="3856">
        <f>OFFSET(AF41,0,-1)+1</f>
        <v>3</v>
      </c>
      <c r="AG41" s="3856">
        <f>OFFSET(AG41,0,-1)+1</f>
        <v>4</v>
      </c>
      <c r="AH41" s="3856"/>
      <c r="AI41" s="3856">
        <f>OFFSET(AI41,0,-2)+1</f>
        <v>5</v>
      </c>
      <c r="AJ41" s="3855">
        <f>OFFSET(AJ41,0,-1)</f>
        <v>5</v>
      </c>
      <c r="AK41" s="3856">
        <f>OFFSET(AK41,0,-1)+1</f>
        <v>6</v>
      </c>
      <c r="AQ41" s="3637">
        <v>0</v>
      </c>
    </row>
    <row customHeight="1" ht="107.25">
      <c r="A42" s="3534" t="s">
        <v>221</v>
      </c>
      <c r="E42" s="3879">
        <v>1</v>
      </c>
      <c r="R42" s="816"/>
      <c r="S42" s="3818">
        <f>INDEX(PT_DIFFERENTIATION_NUM_NTAR,MATCH(A42,PT_DIFFERENTIATION_NTAR_ID,0))</f>
        <v>0</v>
      </c>
      <c r="T42" s="3764" t="s">
        <v>141</v>
      </c>
      <c r="U42" s="3819"/>
      <c r="V42" s="3821"/>
      <c r="W42" s="3821"/>
      <c r="X42" s="3821"/>
      <c r="Y42" s="3821"/>
      <c r="Z42" s="3821"/>
      <c r="AA42" s="3822"/>
      <c r="AB42" s="3821"/>
      <c r="AC42" s="3821" t="str">
        <f>INDEX(PT_DIFFERENTIATION_NTAR,MATCH(A42,PT_DIFFERENTIATION_NTAR_ID,0))</f>
        <v/>
      </c>
      <c r="AD42" s="3821"/>
      <c r="AE42" s="3821"/>
      <c r="AF42" s="3821"/>
      <c r="AG42" s="3821"/>
      <c r="AH42" s="3821"/>
      <c r="AI42" s="3821"/>
      <c r="AJ42" s="3822"/>
      <c r="AK42" s="38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3479" t="str">
        <f>IF(T42="","",T42)</f>
        <v>Наименование тарифа</v>
      </c>
      <c r="AQ42" s="3432">
        <v>102</v>
      </c>
    </row>
    <row customHeight="1" ht="22.049999999999997">
      <c r="A43" s="3534" t="s">
        <v>221</v>
      </c>
      <c r="B43" s="3534" t="s">
        <v>222</v>
      </c>
      <c r="E43" s="3880"/>
      <c r="F43" s="3879">
        <v>1</v>
      </c>
      <c r="Q43" s="3890"/>
      <c r="R43" s="3826"/>
      <c r="S43" s="3818" t="str">
        <f>INDEX(PT_DIFFERENTIATION_NUM_TER,MATCH(B43,PT_DIFFERENTIATION_TER_ID,0))</f>
        <v>.</v>
      </c>
      <c r="T43" s="3827" t="s">
        <v>412</v>
      </c>
      <c r="U43" s="3819"/>
      <c r="V43" s="3821"/>
      <c r="W43" s="3821"/>
      <c r="X43" s="3821"/>
      <c r="Y43" s="3821"/>
      <c r="Z43" s="3821"/>
      <c r="AA43" s="3822"/>
      <c r="AB43" s="3821"/>
      <c r="AC43" s="3821" t="str">
        <f>INDEX(PT_DIFFERENTIATION_TER,MATCH(B43,PT_DIFFERENTIATION_TER_ID,0))</f>
        <v/>
      </c>
      <c r="AD43" s="3821"/>
      <c r="AE43" s="3821"/>
      <c r="AF43" s="3821"/>
      <c r="AG43" s="3821"/>
      <c r="AH43" s="3821"/>
      <c r="AI43" s="3821"/>
      <c r="AJ43" s="3822"/>
      <c r="AK43" s="3823" t="s">
        <v>413</v>
      </c>
      <c r="AN43" s="3479" t="str">
        <f>IF(T43="","",T43)</f>
        <v>Территория действия тарифа</v>
      </c>
      <c r="AQ43" s="3432">
        <v>21</v>
      </c>
    </row>
    <row customHeight="1" ht="24">
      <c r="A44" s="3534" t="s">
        <v>221</v>
      </c>
      <c r="B44" s="3534" t="s">
        <v>222</v>
      </c>
      <c r="C44" s="3534" t="s">
        <v>223</v>
      </c>
      <c r="E44" s="3880"/>
      <c r="F44" s="3880"/>
      <c r="G44" s="3879">
        <v>1</v>
      </c>
      <c r="Q44" s="3890"/>
      <c r="R44" s="3826"/>
      <c r="S44" s="3818" t="str">
        <f>INDEX(PT_DIFFERENTIATION_NUM_CS,MATCH(C44,PT_DIFFERENTIATION_CS_ID,0))</f>
        <v>..</v>
      </c>
      <c r="T44" s="3828" t="s">
        <v>414</v>
      </c>
      <c r="U44" s="3819"/>
      <c r="V44" s="3821"/>
      <c r="W44" s="3821"/>
      <c r="X44" s="3821"/>
      <c r="Y44" s="3821"/>
      <c r="Z44" s="3821"/>
      <c r="AA44" s="3822"/>
      <c r="AB44" s="3821"/>
      <c r="AC44" s="3821" t="str">
        <f>INDEX(PT_DIFFERENTIATION_CS,MATCH(C44,PT_DIFFERENTIATION_CS_ID,0))</f>
        <v/>
      </c>
      <c r="AD44" s="3821"/>
      <c r="AE44" s="3821"/>
      <c r="AF44" s="3821"/>
      <c r="AG44" s="3821"/>
      <c r="AH44" s="3821"/>
      <c r="AI44" s="3821"/>
      <c r="AJ44" s="3822"/>
      <c r="AK44" s="3823" t="s">
        <v>415</v>
      </c>
      <c r="AN44" s="3479" t="str">
        <f>IF(T44="","",T44)</f>
        <v>Наименование системы теплоснабжения </v>
      </c>
      <c r="AQ44" s="3432">
        <v>23</v>
      </c>
    </row>
    <row customHeight="1" ht="22.049999999999997">
      <c r="A45" s="3534" t="s">
        <v>221</v>
      </c>
      <c r="B45" s="3534" t="s">
        <v>222</v>
      </c>
      <c r="C45" s="3534" t="s">
        <v>223</v>
      </c>
      <c r="D45" s="3534" t="s">
        <v>224</v>
      </c>
      <c r="E45" s="3880"/>
      <c r="F45" s="3880"/>
      <c r="G45" s="3880"/>
      <c r="H45" s="3879">
        <v>1</v>
      </c>
      <c r="Q45" s="3890"/>
      <c r="R45" s="3826"/>
      <c r="S45" s="3818" t="str">
        <f>INDEX(PT_DIFFERENTIATION_NUM_IST_TE,MATCH(D45,PT_DIFFERENTIATION_IST_TE_ID,0))</f>
        <v>...</v>
      </c>
      <c r="T45" s="3829" t="s">
        <v>416</v>
      </c>
      <c r="U45" s="3819"/>
      <c r="V45" s="3821"/>
      <c r="W45" s="3821"/>
      <c r="X45" s="3821"/>
      <c r="Y45" s="3821"/>
      <c r="Z45" s="3821"/>
      <c r="AA45" s="3822"/>
      <c r="AB45" s="3821"/>
      <c r="AC45" s="3821" t="str">
        <f>INDEX(PT_DIFFERENTIATION_IST_TE,MATCH(D45,PT_DIFFERENTIATION_IST_TE_ID,0))</f>
        <v/>
      </c>
      <c r="AD45" s="3821"/>
      <c r="AE45" s="3821"/>
      <c r="AF45" s="3821"/>
      <c r="AG45" s="3821"/>
      <c r="AH45" s="3821"/>
      <c r="AI45" s="3821"/>
      <c r="AJ45" s="3822"/>
      <c r="AK45" s="3823" t="s">
        <v>417</v>
      </c>
      <c r="AN45" s="3479" t="str">
        <f>IF(T45="","",T45)</f>
        <v>Источник тепловой энергии  </v>
      </c>
      <c r="AQ45" s="3432">
        <v>21</v>
      </c>
    </row>
    <row customHeight="1" ht="0">
      <c r="A46" s="3888" t="s">
        <v>221</v>
      </c>
      <c r="B46" s="3888" t="s">
        <v>222</v>
      </c>
      <c r="C46" s="3888" t="s">
        <v>223</v>
      </c>
      <c r="D46" s="3888" t="s">
        <v>224</v>
      </c>
      <c r="E46" s="3880"/>
      <c r="F46" s="3880"/>
      <c r="G46" s="3880"/>
      <c r="H46" s="3880"/>
      <c r="I46" s="3480" t="str">
        <f>S45&amp;".1"</f>
        <v>....1</v>
      </c>
      <c r="L46" s="3889" t="s">
        <v>418</v>
      </c>
      <c r="P46" s="3471">
        <v>1</v>
      </c>
      <c r="R46" s="3831"/>
      <c r="S46" s="3582"/>
      <c r="T46" s="3860"/>
      <c r="U46" s="3861"/>
      <c r="V46" s="3863"/>
      <c r="W46" s="3863"/>
      <c r="X46" s="3863"/>
      <c r="Y46" s="3863"/>
      <c r="Z46" s="3863"/>
      <c r="AA46" s="3864"/>
      <c r="AB46" s="3863"/>
      <c r="AC46" s="3863"/>
      <c r="AD46" s="3863"/>
      <c r="AE46" s="3863"/>
      <c r="AF46" s="3863"/>
      <c r="AG46" s="3863"/>
      <c r="AH46" s="3863"/>
      <c r="AI46" s="3863"/>
      <c r="AJ46" s="3864"/>
      <c r="AK46" s="3865"/>
      <c r="AN46" s="3479" t="str">
        <f>IF(T46="","",T46)</f>
        <v/>
      </c>
      <c r="AQ46" s="3473">
        <v>0</v>
      </c>
    </row>
    <row customHeight="1" ht="0">
      <c r="A47" s="3888" t="s">
        <v>221</v>
      </c>
      <c r="B47" s="3888" t="s">
        <v>222</v>
      </c>
      <c r="C47" s="3888" t="s">
        <v>223</v>
      </c>
      <c r="D47" s="3888" t="s">
        <v>224</v>
      </c>
      <c r="E47" s="3880"/>
      <c r="F47" s="3880"/>
      <c r="G47" s="3880"/>
      <c r="H47" s="3880"/>
      <c r="I47" s="3437"/>
      <c r="J47" s="3480" t="str">
        <f>S45&amp;".1"</f>
        <v>....1</v>
      </c>
      <c r="Q47" s="3471">
        <v>1</v>
      </c>
      <c r="R47" s="3836"/>
      <c r="S47" s="3582"/>
      <c r="T47" s="3891"/>
      <c r="U47" s="3861"/>
      <c r="V47" s="3863"/>
      <c r="W47" s="3863"/>
      <c r="X47" s="3863"/>
      <c r="Y47" s="3863"/>
      <c r="Z47" s="3863"/>
      <c r="AA47" s="3864"/>
      <c r="AB47" s="3863"/>
      <c r="AC47" s="3863"/>
      <c r="AD47" s="3863"/>
      <c r="AE47" s="3863"/>
      <c r="AF47" s="3863"/>
      <c r="AG47" s="3863"/>
      <c r="AH47" s="3863"/>
      <c r="AI47" s="3863"/>
      <c r="AJ47" s="3864"/>
      <c r="AK47" s="3865"/>
      <c r="AN47" s="3479" t="str">
        <f>IF(T47="","",T47)</f>
        <v/>
      </c>
      <c r="AQ47" s="3473">
        <v>0</v>
      </c>
    </row>
    <row customHeight="1" ht="22.049999999999997">
      <c r="A48" s="3534" t="s">
        <v>221</v>
      </c>
      <c r="B48" s="3534" t="s">
        <v>222</v>
      </c>
      <c r="C48" s="3534" t="s">
        <v>223</v>
      </c>
      <c r="D48" s="3534" t="s">
        <v>224</v>
      </c>
      <c r="E48" s="3880"/>
      <c r="F48" s="3880"/>
      <c r="G48" s="3880"/>
      <c r="H48" s="3880"/>
      <c r="I48" s="3437"/>
      <c r="J48" s="3437"/>
      <c r="K48" s="3480" t="str">
        <f>S45&amp;".1"</f>
        <v>....1</v>
      </c>
      <c r="R48" s="3836">
        <v>1</v>
      </c>
      <c r="S48" s="3867" t="str">
        <f>$K48</f>
        <v>....1</v>
      </c>
      <c r="T48" s="937"/>
      <c r="U48" s="3819"/>
      <c r="V48" s="838"/>
      <c r="W48" s="840"/>
      <c r="X48" s="572"/>
      <c r="Y48" s="210" t="s">
        <v>61</v>
      </c>
      <c r="Z48" s="572"/>
      <c r="AA48" s="210" t="s">
        <v>61</v>
      </c>
      <c r="AB48" s="986"/>
      <c r="AC48" s="987" t="s">
        <v>22</v>
      </c>
      <c r="AD48" s="838"/>
      <c r="AE48" s="840"/>
      <c r="AF48" s="572"/>
      <c r="AG48" s="210" t="s">
        <v>61</v>
      </c>
      <c r="AH48" s="572"/>
      <c r="AI48" s="210" t="s">
        <v>61</v>
      </c>
      <c r="AJ48" s="882"/>
      <c r="AK48" s="3839" t="s">
        <v>495</v>
      </c>
      <c r="AL48" s="3473">
        <f>STRCHECKDATE(#REF!)</f>
      </c>
      <c r="AN48" s="3479" t="str">
        <f>IF(T48="","",T48)</f>
        <v/>
      </c>
      <c r="AQ48" s="3432">
        <v>21</v>
      </c>
    </row>
    <row customHeight="1" ht="11.549999999999999">
      <c r="A49" s="3534" t="s">
        <v>221</v>
      </c>
      <c r="B49" s="3534" t="s">
        <v>222</v>
      </c>
      <c r="C49" s="3534" t="s">
        <v>223</v>
      </c>
      <c r="D49" s="3534" t="s">
        <v>224</v>
      </c>
      <c r="E49" s="3880"/>
      <c r="F49" s="3880"/>
      <c r="G49" s="3880"/>
      <c r="H49" s="3880"/>
      <c r="I49" s="3437"/>
      <c r="J49" s="3480"/>
      <c r="R49" s="3831"/>
      <c r="S49" s="844"/>
      <c r="T49" s="848" t="s">
        <v>483</v>
      </c>
      <c r="U49" s="200"/>
      <c r="V49" s="200"/>
      <c r="W49" s="200"/>
      <c r="X49" s="200"/>
      <c r="Y49" s="200"/>
      <c r="Z49" s="200"/>
      <c r="AA49" s="846"/>
      <c r="AB49" s="200"/>
      <c r="AC49" s="200"/>
      <c r="AD49" s="200"/>
      <c r="AE49" s="200"/>
      <c r="AF49" s="200"/>
      <c r="AG49" s="200"/>
      <c r="AH49" s="200"/>
      <c r="AI49" s="200"/>
      <c r="AJ49" s="846"/>
      <c r="AK49" s="3841"/>
      <c r="AN49" s="3479" t="str">
        <f>IF(T49="","",T49)</f>
        <v>Добавить строку</v>
      </c>
      <c r="AQ49" s="3432">
        <v>11</v>
      </c>
    </row>
    <row customHeight="1" ht="1.05">
      <c r="A50" s="3888" t="s">
        <v>221</v>
      </c>
      <c r="B50" s="3888" t="s">
        <v>222</v>
      </c>
      <c r="C50" s="3888" t="s">
        <v>223</v>
      </c>
      <c r="D50" s="3888" t="s">
        <v>224</v>
      </c>
      <c r="E50" s="3880"/>
      <c r="F50" s="3880"/>
      <c r="G50" s="3880"/>
      <c r="H50" s="3880"/>
      <c r="I50" s="3480"/>
      <c r="R50" s="3831"/>
      <c r="S50" s="894"/>
      <c r="T50" s="895" t="s">
        <v>427</v>
      </c>
      <c r="U50" s="896"/>
      <c r="V50" s="896"/>
      <c r="W50" s="896"/>
      <c r="X50" s="896"/>
      <c r="Y50" s="896"/>
      <c r="Z50" s="896"/>
      <c r="AA50" s="896"/>
      <c r="AB50" s="896"/>
      <c r="AC50" s="896"/>
      <c r="AD50" s="896"/>
      <c r="AE50" s="896"/>
      <c r="AF50" s="896"/>
      <c r="AG50" s="896"/>
      <c r="AH50" s="896"/>
      <c r="AI50" s="896"/>
      <c r="AJ50" s="896"/>
      <c r="AK50" s="897"/>
      <c r="AN50" s="3479" t="str">
        <f>IF(T50="","",T50)</f>
        <v>Добавить группу потребителей</v>
      </c>
      <c r="AQ50" s="3473">
        <v>1</v>
      </c>
    </row>
    <row customHeight="1" ht="1.05">
      <c r="A51" s="3888" t="s">
        <v>221</v>
      </c>
      <c r="B51" s="3888" t="s">
        <v>222</v>
      </c>
      <c r="C51" s="3888" t="s">
        <v>223</v>
      </c>
      <c r="D51" s="3888" t="s">
        <v>224</v>
      </c>
      <c r="E51" s="3880"/>
      <c r="F51" s="3880"/>
      <c r="G51" s="3880"/>
      <c r="H51" s="3879"/>
      <c r="R51" s="972"/>
      <c r="S51" s="894"/>
      <c r="T51" s="895"/>
      <c r="U51" s="896"/>
      <c r="V51" s="896"/>
      <c r="W51" s="896"/>
      <c r="X51" s="896"/>
      <c r="Y51" s="896"/>
      <c r="Z51" s="896"/>
      <c r="AA51" s="896"/>
      <c r="AB51" s="896"/>
      <c r="AC51" s="896"/>
      <c r="AD51" s="896"/>
      <c r="AE51" s="896"/>
      <c r="AF51" s="896"/>
      <c r="AG51" s="896"/>
      <c r="AH51" s="896"/>
      <c r="AI51" s="896"/>
      <c r="AJ51" s="896"/>
      <c r="AK51" s="897"/>
      <c r="AN51" s="3479" t="str">
        <f>IF(T51="","",T51)</f>
        <v/>
      </c>
      <c r="AQ51" s="3637">
        <v>1</v>
      </c>
    </row>
    <row customHeight="1" ht="1.05">
      <c r="A52" s="3888" t="s">
        <v>221</v>
      </c>
      <c r="B52" s="3888" t="s">
        <v>222</v>
      </c>
      <c r="C52" s="3888" t="s">
        <v>223</v>
      </c>
      <c r="E52" s="3880"/>
      <c r="F52" s="3880"/>
      <c r="G52" s="3879"/>
      <c r="T52" s="856" t="s">
        <v>429</v>
      </c>
      <c r="AN52" s="3479" t="str">
        <f>IF(T52="","",T52)</f>
        <v>Добавить источник для дифференциации</v>
      </c>
      <c r="AQ52" s="3473">
        <v>1</v>
      </c>
    </row>
    <row customHeight="1" ht="1.05">
      <c r="A53" s="3888" t="s">
        <v>221</v>
      </c>
      <c r="B53" s="3888" t="s">
        <v>222</v>
      </c>
      <c r="E53" s="3880"/>
      <c r="F53" s="3879"/>
      <c r="T53" s="856" t="s">
        <v>430</v>
      </c>
      <c r="AN53" s="3479" t="str">
        <f>IF(T53="","",T53)</f>
        <v>Добавить централизованную систему для дифференциации</v>
      </c>
      <c r="AQ53" s="3473">
        <v>1</v>
      </c>
    </row>
    <row customHeight="1" ht="1.05">
      <c r="A54" s="3888" t="s">
        <v>221</v>
      </c>
      <c r="E54" s="3880"/>
      <c r="T54" s="856" t="s">
        <v>431</v>
      </c>
      <c r="AN54" s="3479" t="str">
        <f>IF(T54="","",T54)</f>
        <v>Добавить территорию для дифференциации</v>
      </c>
      <c r="AQ54" s="3473">
        <v>1</v>
      </c>
    </row>
    <row customHeight="1" ht="1.05">
      <c r="A55" s="3888" t="s">
        <v>221</v>
      </c>
      <c r="E55" s="3879"/>
      <c r="T55" s="856" t="s">
        <v>431</v>
      </c>
      <c r="AN55" s="3479" t="str">
        <f>IF(T55="","",T55)</f>
        <v>Добавить территорию для дифференциации</v>
      </c>
      <c r="AQ55" s="3473">
        <v>1</v>
      </c>
    </row>
    <row customHeight="1" ht="1.05">
      <c r="T56" s="856" t="s">
        <v>463</v>
      </c>
      <c r="AN56" s="3479" t="str">
        <f>IF(T56="","",T56)</f>
        <v>Добавить наименование тарифа</v>
      </c>
      <c r="AQ56" s="3473">
        <v>1</v>
      </c>
    </row>
    <row customHeight="1" ht="11.549999999999999">
      <c r="AQ57" s="3432">
        <v>11</v>
      </c>
    </row>
    <row customHeight="1" ht="19.95">
      <c r="AQ58" s="3432">
        <v>19</v>
      </c>
    </row>
    <row customHeight="1" ht="21">
      <c r="AQ59" s="3432">
        <v>20</v>
      </c>
    </row>
    <row customHeight="1" ht="14.699999999999998">
      <c r="AQ60" s="3432">
        <v>14</v>
      </c>
    </row>
    <row customHeight="1" ht="19.95">
      <c r="AQ61" s="3432">
        <v>19</v>
      </c>
    </row>
    <row customHeight="1" ht="16.8">
      <c r="AQ62" s="3432">
        <v>16</v>
      </c>
    </row>
    <row customHeight="1" ht="14.699999999999998">
      <c r="AQ63" s="3432">
        <v>14</v>
      </c>
    </row>
    <row customHeight="1" ht="22.5" hidden="1">
      <c r="A64" s="3432" t="s">
        <v>80</v>
      </c>
      <c r="B64" s="3432">
        <v>0</v>
      </c>
      <c r="C64" s="3432">
        <v>0</v>
      </c>
      <c r="D64" s="3432">
        <v>0</v>
      </c>
      <c r="E64" s="3432">
        <v>0</v>
      </c>
      <c r="F64" s="3432">
        <v>0</v>
      </c>
      <c r="G64" s="3432">
        <v>0</v>
      </c>
      <c r="H64" s="3432">
        <v>0</v>
      </c>
      <c r="I64" s="3432">
        <v>0</v>
      </c>
      <c r="J64" s="3432">
        <v>0</v>
      </c>
      <c r="K64" s="3432">
        <v>0</v>
      </c>
      <c r="L64" s="3455">
        <v>0</v>
      </c>
      <c r="M64" s="782">
        <v>0</v>
      </c>
      <c r="N64" s="782">
        <v>0</v>
      </c>
      <c r="O64" s="782">
        <v>0</v>
      </c>
      <c r="P64" s="105">
        <v>3</v>
      </c>
      <c r="Q64" s="3913">
        <v>3</v>
      </c>
      <c r="R64" s="3797">
        <v>3</v>
      </c>
      <c r="S64" s="3447">
        <v>12</v>
      </c>
      <c r="T64" s="3432">
        <v>31</v>
      </c>
      <c r="U64" s="3432">
        <v>0</v>
      </c>
      <c r="V64" s="3432">
        <v>0</v>
      </c>
      <c r="W64" s="3432">
        <v>0</v>
      </c>
      <c r="X64" s="3432">
        <v>0</v>
      </c>
      <c r="Y64" s="3432">
        <v>0</v>
      </c>
      <c r="Z64" s="3432">
        <v>0</v>
      </c>
      <c r="AA64" s="3432">
        <v>0</v>
      </c>
      <c r="AB64" s="3432">
        <v>27</v>
      </c>
      <c r="AC64" s="3432">
        <v>24</v>
      </c>
      <c r="AD64" s="3432">
        <v>21</v>
      </c>
      <c r="AE64" s="3432">
        <v>21</v>
      </c>
      <c r="AF64" s="3432">
        <v>11</v>
      </c>
      <c r="AG64" s="3432">
        <v>3</v>
      </c>
      <c r="AH64" s="3432">
        <v>11</v>
      </c>
      <c r="AI64" s="3432">
        <v>8</v>
      </c>
      <c r="AJ64" s="3432">
        <v>4</v>
      </c>
      <c r="AK64" s="3432">
        <v>115</v>
      </c>
      <c r="AL64" s="3473">
        <v>10</v>
      </c>
      <c r="AM64" s="3473">
        <v>10</v>
      </c>
      <c r="AN64" s="3473">
        <v>10</v>
      </c>
      <c r="AO64" s="3473">
        <v>10</v>
      </c>
      <c r="AP64" s="3473">
        <v>10</v>
      </c>
      <c r="AQ64" s="34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61851-AF26-1CF6-AC19-60DAAE9E287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348" width="11.57421875" hidden="1" customWidth="1"/>
    <col min="2" max="2" style="7348" width="11.00390625" hidden="1" customWidth="1"/>
    <col min="3" max="3" style="7348" width="10.57421875" hidden="1"/>
    <col min="4" max="4" style="7348" width="12.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7" style="7348" width="3.7109375" hidden="1" customWidth="1"/>
    <col min="18" max="18" style="7348" width="3.00390625" customWidth="1"/>
    <col min="19" max="19" style="7348" width="12.00390625" customWidth="1"/>
    <col min="20" max="20" style="7348" width="31.00390625" customWidth="1"/>
    <col min="21" max="21" style="7348" width="0.140625" customWidth="1"/>
    <col min="22" max="25" style="7348" width="21.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3.7109375" customWidth="1"/>
    <col min="31" max="32" style="7348" width="3.00390625" customWidth="1"/>
    <col min="33" max="33" style="7348" width="24.00390625" customWidth="1"/>
    <col min="34" max="34" style="7348" width="3.7109375" customWidth="1"/>
    <col min="35" max="36" style="7348" width="3.00390625" customWidth="1"/>
    <col min="37" max="37" style="7348" width="24.00390625" customWidth="1"/>
    <col min="38" max="38" style="7348" width="3.7109375" customWidth="1"/>
    <col min="39" max="40" style="7348" width="3.00390625" customWidth="1"/>
    <col min="41" max="41" style="7348" width="18.00390625" customWidth="1"/>
    <col min="42" max="42" style="7348" width="3.7109375" customWidth="1"/>
    <col min="43" max="44" style="7348" width="3.00390625" customWidth="1"/>
    <col min="45" max="45" style="7348" width="18.00390625" customWidth="1"/>
    <col min="46" max="49" style="7348" width="21.00390625" customWidth="1"/>
    <col min="50" max="50" style="7348" width="11.00390625" customWidth="1"/>
    <col min="51" max="51" style="7348" width="3.7109375" customWidth="1"/>
    <col min="52" max="52" style="7348" width="11.00390625" customWidth="1"/>
    <col min="53" max="53" style="7348" width="8.57421875" hidden="1" customWidth="1"/>
    <col min="54" max="54" style="7348" width="4.00390625" customWidth="1"/>
    <col min="55" max="55" style="7348" width="115.00390625" customWidth="1"/>
    <col min="56" max="60" style="7348" width="10.00390625" customWidth="1"/>
    <col min="61" max="61" style="7348" width="10.57421875" hidden="1"/>
  </cols>
  <sheetData>
    <row customHeight="1" ht="22.5" hidden="1">
      <c r="BI1" s="3432" t="s">
        <v>14</v>
      </c>
    </row>
    <row customHeight="1" ht="21" hidden="1">
      <c r="E2" s="3817">
        <v>1</v>
      </c>
      <c r="R2" s="816"/>
      <c r="S2" s="3818">
        <f>INDEX(PT_DIFFERENTIATION_NUM_NTAR,MATCH(A2,PT_DIFFERENTIATION_NTAR_ID,0))</f>
      </c>
      <c r="T2" s="3764" t="s">
        <v>141</v>
      </c>
      <c r="U2" s="3819"/>
      <c r="V2" s="3821"/>
      <c r="W2" s="3821"/>
      <c r="X2" s="3821"/>
      <c r="Y2" s="3821"/>
      <c r="Z2" s="3821"/>
      <c r="AA2" s="3821"/>
      <c r="AB2" s="3821"/>
      <c r="AC2" s="3822"/>
      <c r="AD2" s="3820">
        <f>INDEX(PT_DIFFERENTIATION_NTAR,MATCH(A2,PT_DIFFERENTIATION_NTAR_ID,0))</f>
      </c>
      <c r="AE2" s="3821"/>
      <c r="AF2" s="3821"/>
      <c r="AG2" s="3821"/>
      <c r="AH2" s="3821"/>
      <c r="AI2" s="3821"/>
      <c r="AJ2" s="3821"/>
      <c r="AK2" s="3821"/>
      <c r="AL2" s="3821"/>
      <c r="AM2" s="3821"/>
      <c r="AN2" s="3821"/>
      <c r="AO2" s="3821"/>
      <c r="AP2" s="3821"/>
      <c r="AQ2" s="3821"/>
      <c r="AR2" s="3821"/>
      <c r="AS2" s="3821"/>
      <c r="AT2" s="3821"/>
      <c r="AU2" s="3821"/>
      <c r="AV2" s="3821"/>
      <c r="AW2" s="3821"/>
      <c r="AX2" s="3821"/>
      <c r="AY2" s="3821"/>
      <c r="AZ2" s="3821"/>
      <c r="BA2" s="3821"/>
      <c r="BB2" s="3822"/>
      <c r="BC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3479" t="str">
        <f>IF(T2="","",T2)</f>
        <v>Наименование тарифа</v>
      </c>
      <c r="BI2" s="3432">
        <v>0</v>
      </c>
    </row>
    <row customHeight="1" ht="21" hidden="1">
      <c r="E3" s="3824"/>
      <c r="F3" s="3817">
        <v>1</v>
      </c>
      <c r="Q3" s="3890"/>
      <c r="R3" s="3826"/>
      <c r="S3" s="3818">
        <f>INDEX(PT_DIFFERENTIATION_NUM_TER,MATCH(B3,PT_DIFFERENTIATION_TER_ID,0))</f>
      </c>
      <c r="T3" s="3827" t="s">
        <v>412</v>
      </c>
      <c r="U3" s="3819"/>
      <c r="V3" s="3821"/>
      <c r="W3" s="3821"/>
      <c r="X3" s="3821"/>
      <c r="Y3" s="3821"/>
      <c r="Z3" s="3821"/>
      <c r="AA3" s="3821"/>
      <c r="AB3" s="3821"/>
      <c r="AC3" s="3822"/>
      <c r="AD3" s="3820">
        <f>INDEX(PT_DIFFERENTIATION_TER,MATCH(B3,PT_DIFFERENTIATION_TER_ID,0))</f>
      </c>
      <c r="AE3" s="3821"/>
      <c r="AF3" s="3821"/>
      <c r="AG3" s="3821"/>
      <c r="AH3" s="3821"/>
      <c r="AI3" s="3821"/>
      <c r="AJ3" s="3821"/>
      <c r="AK3" s="3821"/>
      <c r="AL3" s="3821"/>
      <c r="AM3" s="3821"/>
      <c r="AN3" s="3821"/>
      <c r="AO3" s="3821"/>
      <c r="AP3" s="3821"/>
      <c r="AQ3" s="3821"/>
      <c r="AR3" s="3821"/>
      <c r="AS3" s="3821"/>
      <c r="AT3" s="3821"/>
      <c r="AU3" s="3821"/>
      <c r="AV3" s="3821"/>
      <c r="AW3" s="3821"/>
      <c r="AX3" s="3821"/>
      <c r="AY3" s="3821"/>
      <c r="AZ3" s="3821"/>
      <c r="BA3" s="3821"/>
      <c r="BB3" s="3822"/>
      <c r="BC3" s="3823" t="s">
        <v>413</v>
      </c>
      <c r="BF3" s="3479" t="str">
        <f>IF(T3="","",T3)</f>
        <v>Территория действия тарифа</v>
      </c>
      <c r="BI3" s="3432">
        <v>0</v>
      </c>
    </row>
    <row customHeight="1" ht="42" hidden="1">
      <c r="E4" s="3824"/>
      <c r="F4" s="3824"/>
      <c r="G4" s="3817">
        <v>1</v>
      </c>
      <c r="Q4" s="3890"/>
      <c r="R4" s="3826"/>
      <c r="S4" s="3818">
        <f>INDEX(PT_DIFFERENTIATION_NUM_CS,MATCH(C4,PT_DIFFERENTIATION_CS_ID,0))</f>
      </c>
      <c r="T4" s="3828" t="s">
        <v>496</v>
      </c>
      <c r="U4" s="3819"/>
      <c r="V4" s="3821"/>
      <c r="W4" s="3821"/>
      <c r="X4" s="3821"/>
      <c r="Y4" s="3821"/>
      <c r="Z4" s="3821"/>
      <c r="AA4" s="3821"/>
      <c r="AB4" s="3821"/>
      <c r="AC4" s="3822"/>
      <c r="AD4" s="3820">
        <f>INDEX(PT_DIFFERENTIATION_CS,MATCH(C4,PT_DIFFERENTIATION_CS_ID,0))</f>
      </c>
      <c r="AE4" s="3821"/>
      <c r="AF4" s="3821"/>
      <c r="AG4" s="3821"/>
      <c r="AH4" s="3821"/>
      <c r="AI4" s="3821"/>
      <c r="AJ4" s="3821"/>
      <c r="AK4" s="3821"/>
      <c r="AL4" s="3821"/>
      <c r="AM4" s="3821"/>
      <c r="AN4" s="3821"/>
      <c r="AO4" s="3821"/>
      <c r="AP4" s="3821"/>
      <c r="AQ4" s="3821"/>
      <c r="AR4" s="3821"/>
      <c r="AS4" s="3821"/>
      <c r="AT4" s="3821"/>
      <c r="AU4" s="3821"/>
      <c r="AV4" s="3821"/>
      <c r="AW4" s="3821"/>
      <c r="AX4" s="3821"/>
      <c r="AY4" s="3821"/>
      <c r="AZ4" s="3821"/>
      <c r="BA4" s="3821"/>
      <c r="BB4" s="3822"/>
      <c r="BC4" s="3823" t="s">
        <v>497</v>
      </c>
      <c r="BF4" s="3479" t="str">
        <f>IF(T4="","",T4)</f>
        <v>Наименование централизованной системы холодного водоснабжения</v>
      </c>
      <c r="BI4" s="3432">
        <v>0</v>
      </c>
    </row>
    <row customHeight="1" ht="14.25" hidden="1">
      <c r="E5" s="3824"/>
      <c r="F5" s="3824"/>
      <c r="G5" s="3824"/>
      <c r="H5" s="3817">
        <v>1</v>
      </c>
      <c r="Q5" s="3942"/>
      <c r="R5" s="3836"/>
      <c r="S5" s="3582"/>
      <c r="T5" s="3943"/>
      <c r="U5" s="3861"/>
      <c r="V5" s="3863"/>
      <c r="W5" s="3863"/>
      <c r="X5" s="3863"/>
      <c r="Y5" s="3863"/>
      <c r="Z5" s="3863"/>
      <c r="AA5" s="3863"/>
      <c r="AB5" s="3863"/>
      <c r="AC5" s="3864"/>
      <c r="AD5" s="3862"/>
      <c r="AE5" s="3863"/>
      <c r="AF5" s="3863"/>
      <c r="AG5" s="3863"/>
      <c r="AH5" s="3863"/>
      <c r="AI5" s="3863"/>
      <c r="AJ5" s="3863"/>
      <c r="AK5" s="3863"/>
      <c r="AL5" s="3863"/>
      <c r="AM5" s="3863"/>
      <c r="AN5" s="3863"/>
      <c r="AO5" s="3863"/>
      <c r="AP5" s="3863"/>
      <c r="AQ5" s="3863"/>
      <c r="AR5" s="3863"/>
      <c r="AS5" s="3863"/>
      <c r="AT5" s="3863"/>
      <c r="AU5" s="3863"/>
      <c r="AV5" s="3863"/>
      <c r="AW5" s="3863"/>
      <c r="AX5" s="3863"/>
      <c r="AY5" s="3863"/>
      <c r="AZ5" s="3863"/>
      <c r="BA5" s="3863"/>
      <c r="BB5" s="3864"/>
      <c r="BC5" s="3865" t="s">
        <v>417</v>
      </c>
      <c r="BF5" s="3479" t="str">
        <f>IF(T5="","",T5)</f>
        <v/>
      </c>
      <c r="BI5" s="3473">
        <v>0</v>
      </c>
    </row>
    <row customHeight="1" ht="14.25" hidden="1">
      <c r="E6" s="3824"/>
      <c r="F6" s="3824"/>
      <c r="G6" s="3824"/>
      <c r="H6" s="3824"/>
      <c r="I6" s="3711" t="str">
        <f>S5&amp;".1"</f>
        <v>.1</v>
      </c>
      <c r="L6" s="3866" t="s">
        <v>418</v>
      </c>
      <c r="P6" s="3471">
        <v>1</v>
      </c>
      <c r="R6" s="3831"/>
      <c r="S6" s="3582"/>
      <c r="T6" s="3860"/>
      <c r="U6" s="3861"/>
      <c r="V6" s="3863"/>
      <c r="W6" s="3863"/>
      <c r="X6" s="3863"/>
      <c r="Y6" s="3863"/>
      <c r="Z6" s="3863"/>
      <c r="AA6" s="3863"/>
      <c r="AB6" s="3863"/>
      <c r="AC6" s="3864"/>
      <c r="AD6" s="3862"/>
      <c r="AE6" s="3863"/>
      <c r="AF6" s="3863"/>
      <c r="AG6" s="3863"/>
      <c r="AH6" s="3863"/>
      <c r="AI6" s="3863"/>
      <c r="AJ6" s="3863"/>
      <c r="AK6" s="3863"/>
      <c r="AL6" s="3863"/>
      <c r="AM6" s="3863"/>
      <c r="AN6" s="3863"/>
      <c r="AO6" s="3863"/>
      <c r="AP6" s="3863"/>
      <c r="AQ6" s="3863"/>
      <c r="AR6" s="3863"/>
      <c r="AS6" s="3863"/>
      <c r="AT6" s="3863"/>
      <c r="AU6" s="3863"/>
      <c r="AV6" s="3863"/>
      <c r="AW6" s="3863"/>
      <c r="AX6" s="3863"/>
      <c r="AY6" s="3863"/>
      <c r="AZ6" s="3863"/>
      <c r="BA6" s="3863"/>
      <c r="BB6" s="3864"/>
      <c r="BC6" s="3865"/>
      <c r="BF6" s="3479" t="str">
        <f>IF(T6="","",T6)</f>
        <v/>
      </c>
      <c r="BI6" s="3473">
        <v>0</v>
      </c>
    </row>
    <row customHeight="1" ht="14.25" hidden="1">
      <c r="E7" s="3824"/>
      <c r="F7" s="3824"/>
      <c r="G7" s="3824"/>
      <c r="H7" s="3824"/>
      <c r="I7" s="3835"/>
      <c r="J7" s="3711" t="str">
        <f>S5&amp;".1"</f>
        <v>.1</v>
      </c>
      <c r="Q7" s="3471">
        <v>1</v>
      </c>
      <c r="R7" s="3836"/>
      <c r="S7" s="3582"/>
      <c r="T7" s="3891"/>
      <c r="U7" s="3861"/>
      <c r="V7" s="3863"/>
      <c r="W7" s="3863"/>
      <c r="X7" s="3863"/>
      <c r="Y7" s="3863"/>
      <c r="Z7" s="3863"/>
      <c r="AA7" s="3863"/>
      <c r="AB7" s="3863"/>
      <c r="AC7" s="3864"/>
      <c r="AD7" s="3862"/>
      <c r="AE7" s="3863"/>
      <c r="AF7" s="3863"/>
      <c r="AG7" s="3863"/>
      <c r="AH7" s="3863"/>
      <c r="AI7" s="3863"/>
      <c r="AJ7" s="3863"/>
      <c r="AK7" s="3863"/>
      <c r="AL7" s="3863"/>
      <c r="AM7" s="3863"/>
      <c r="AN7" s="3863"/>
      <c r="AO7" s="3863"/>
      <c r="AP7" s="3863"/>
      <c r="AQ7" s="3863"/>
      <c r="AR7" s="3863"/>
      <c r="AS7" s="3863"/>
      <c r="AT7" s="3863"/>
      <c r="AU7" s="3863"/>
      <c r="AV7" s="3863"/>
      <c r="AW7" s="3863"/>
      <c r="AX7" s="3863"/>
      <c r="AY7" s="3863"/>
      <c r="AZ7" s="3863"/>
      <c r="BA7" s="3863"/>
      <c r="BB7" s="3864"/>
      <c r="BC7" s="3865"/>
      <c r="BF7" s="3479" t="str">
        <f>IF(T7="","",T7)</f>
        <v/>
      </c>
      <c r="BI7" s="3473">
        <v>0</v>
      </c>
    </row>
    <row customHeight="1" ht="11.25" hidden="1">
      <c r="E8" s="3824"/>
      <c r="F8" s="3824"/>
      <c r="G8" s="3824"/>
      <c r="H8" s="3824"/>
      <c r="I8" s="3835"/>
      <c r="J8" s="3835"/>
      <c r="K8" s="3711">
        <f>S4&amp;".1"</f>
      </c>
      <c r="R8" s="3892">
        <v>1</v>
      </c>
      <c r="S8" s="3867">
        <f>$K8</f>
      </c>
      <c r="T8" s="986"/>
      <c r="U8" s="3819"/>
      <c r="V8" s="838"/>
      <c r="W8" s="840"/>
      <c r="X8" s="838"/>
      <c r="Y8" s="840"/>
      <c r="Z8" s="572"/>
      <c r="AA8" s="210" t="s">
        <v>61</v>
      </c>
      <c r="AB8" s="572"/>
      <c r="AC8" s="210" t="s">
        <v>61</v>
      </c>
      <c r="AD8" s="289" t="s">
        <v>61</v>
      </c>
      <c r="AE8" s="3893"/>
      <c r="AF8" s="314">
        <v>1</v>
      </c>
      <c r="AG8" s="987"/>
      <c r="AH8" s="210" t="s">
        <v>61</v>
      </c>
      <c r="AI8" s="3893"/>
      <c r="AJ8" s="314">
        <v>1</v>
      </c>
      <c r="AK8" s="97" t="s">
        <v>22</v>
      </c>
      <c r="AL8" s="210" t="s">
        <v>61</v>
      </c>
      <c r="AM8" s="3555"/>
      <c r="AN8" s="314">
        <v>1</v>
      </c>
      <c r="AO8" s="1039"/>
      <c r="AP8" s="1040" t="s">
        <v>61</v>
      </c>
      <c r="AQ8" s="3894"/>
      <c r="AR8" s="314">
        <v>1</v>
      </c>
      <c r="AS8" s="107" t="s">
        <v>22</v>
      </c>
      <c r="AT8" s="838"/>
      <c r="AU8" s="840"/>
      <c r="AV8" s="838"/>
      <c r="AW8" s="840"/>
      <c r="AX8" s="572"/>
      <c r="AY8" s="210" t="s">
        <v>61</v>
      </c>
      <c r="AZ8" s="572"/>
      <c r="BA8" s="210" t="s">
        <v>61</v>
      </c>
      <c r="BB8" s="882"/>
      <c r="BC8" s="3839" t="s">
        <v>516</v>
      </c>
      <c r="BF8" s="3479" t="str">
        <f>IF(T8="","",T8)</f>
        <v/>
      </c>
      <c r="BI8" s="3432">
        <v>0</v>
      </c>
    </row>
    <row customHeight="1" ht="11.25" hidden="1">
      <c r="E9" s="3824"/>
      <c r="F9" s="3824"/>
      <c r="G9" s="3824"/>
      <c r="H9" s="3824"/>
      <c r="I9" s="3835"/>
      <c r="J9" s="3835"/>
      <c r="K9" s="3711"/>
      <c r="R9" s="3892"/>
      <c r="S9" s="3895"/>
      <c r="T9" s="1041"/>
      <c r="U9" s="3819"/>
      <c r="V9" s="925"/>
      <c r="W9" s="943"/>
      <c r="X9" s="925"/>
      <c r="Y9" s="943"/>
      <c r="Z9" s="925"/>
      <c r="AA9" s="925"/>
      <c r="AB9" s="925"/>
      <c r="AC9" s="925"/>
      <c r="AD9" s="295"/>
      <c r="AE9" s="3893"/>
      <c r="AF9" s="314"/>
      <c r="AG9" s="987"/>
      <c r="AH9" s="210"/>
      <c r="AI9" s="3893"/>
      <c r="AJ9" s="314"/>
      <c r="AK9" s="97"/>
      <c r="AL9" s="210"/>
      <c r="AM9" s="3561"/>
      <c r="AN9" s="314"/>
      <c r="AO9" s="1039"/>
      <c r="AP9" s="1042"/>
      <c r="AQ9" s="697"/>
      <c r="AR9" s="172"/>
      <c r="AS9" s="172" t="s">
        <v>517</v>
      </c>
      <c r="AT9" s="925"/>
      <c r="AU9" s="943"/>
      <c r="AV9" s="925"/>
      <c r="AW9" s="943"/>
      <c r="AX9" s="925"/>
      <c r="AY9" s="925"/>
      <c r="AZ9" s="925"/>
      <c r="BA9" s="925"/>
      <c r="BB9" s="942"/>
      <c r="BC9" s="3840"/>
      <c r="BI9" s="3432">
        <v>0</v>
      </c>
    </row>
    <row customHeight="1" ht="11.25" hidden="1">
      <c r="E10" s="3824"/>
      <c r="F10" s="3824"/>
      <c r="G10" s="3824"/>
      <c r="H10" s="3824"/>
      <c r="I10" s="3835"/>
      <c r="J10" s="3835"/>
      <c r="K10" s="3711"/>
      <c r="R10" s="3892"/>
      <c r="S10" s="3895"/>
      <c r="T10" s="1041"/>
      <c r="U10" s="3819"/>
      <c r="V10" s="925"/>
      <c r="W10" s="943"/>
      <c r="X10" s="925"/>
      <c r="Y10" s="943"/>
      <c r="Z10" s="925"/>
      <c r="AA10" s="925"/>
      <c r="AB10" s="925"/>
      <c r="AC10" s="925"/>
      <c r="AD10" s="295"/>
      <c r="AE10" s="3893"/>
      <c r="AF10" s="314"/>
      <c r="AG10" s="987"/>
      <c r="AH10" s="210"/>
      <c r="AI10" s="3893"/>
      <c r="AJ10" s="314"/>
      <c r="AK10" s="97"/>
      <c r="AL10" s="210"/>
      <c r="AM10" s="697"/>
      <c r="AN10" s="791"/>
      <c r="AO10" s="791" t="s">
        <v>518</v>
      </c>
      <c r="AP10" s="172"/>
      <c r="AQ10" s="172"/>
      <c r="AR10" s="172"/>
      <c r="AS10" s="925"/>
      <c r="AT10" s="925"/>
      <c r="AU10" s="943"/>
      <c r="AV10" s="925"/>
      <c r="AW10" s="943"/>
      <c r="AX10" s="925"/>
      <c r="AY10" s="925"/>
      <c r="AZ10" s="925"/>
      <c r="BA10" s="925"/>
      <c r="BB10" s="942"/>
      <c r="BC10" s="3840"/>
      <c r="BI10" s="3432">
        <v>0</v>
      </c>
    </row>
    <row customHeight="1" ht="11.25" hidden="1">
      <c r="E11" s="3824"/>
      <c r="F11" s="3824"/>
      <c r="G11" s="3824"/>
      <c r="H11" s="3824"/>
      <c r="I11" s="3835"/>
      <c r="J11" s="3835"/>
      <c r="K11" s="3711"/>
      <c r="R11" s="3892"/>
      <c r="S11" s="3895"/>
      <c r="T11" s="1041"/>
      <c r="U11" s="3819"/>
      <c r="V11" s="925"/>
      <c r="W11" s="943"/>
      <c r="X11" s="925"/>
      <c r="Y11" s="943"/>
      <c r="Z11" s="925"/>
      <c r="AA11" s="925"/>
      <c r="AB11" s="925"/>
      <c r="AC11" s="925"/>
      <c r="AD11" s="295"/>
      <c r="AE11" s="3893"/>
      <c r="AF11" s="314"/>
      <c r="AG11" s="987"/>
      <c r="AH11" s="210"/>
      <c r="AI11" s="945"/>
      <c r="AJ11" s="167"/>
      <c r="AK11" s="406" t="s">
        <v>519</v>
      </c>
      <c r="AL11" s="925"/>
      <c r="AM11" s="925"/>
      <c r="AN11" s="925"/>
      <c r="AO11" s="925"/>
      <c r="AP11" s="925"/>
      <c r="AQ11" s="925"/>
      <c r="AR11" s="925"/>
      <c r="AS11" s="925"/>
      <c r="AT11" s="925"/>
      <c r="AU11" s="943"/>
      <c r="AV11" s="925"/>
      <c r="AW11" s="943"/>
      <c r="AX11" s="925"/>
      <c r="AY11" s="925"/>
      <c r="AZ11" s="925"/>
      <c r="BA11" s="925"/>
      <c r="BB11" s="942"/>
      <c r="BC11" s="3840"/>
      <c r="BI11" s="3432">
        <v>0</v>
      </c>
    </row>
    <row customHeight="1" ht="11.25" hidden="1">
      <c r="E12" s="3824"/>
      <c r="F12" s="3824"/>
      <c r="G12" s="3824"/>
      <c r="H12" s="3824"/>
      <c r="I12" s="3835"/>
      <c r="J12" s="3835"/>
      <c r="K12" s="3711"/>
      <c r="R12" s="3892"/>
      <c r="S12" s="3876"/>
      <c r="T12" s="1043"/>
      <c r="U12" s="3819"/>
      <c r="V12" s="925"/>
      <c r="W12" s="926" t="str">
        <f>Z8&amp;"-"&amp;AB8</f>
        <v>-</v>
      </c>
      <c r="X12" s="925"/>
      <c r="Y12" s="926" t="str">
        <f>AB8&amp;"-"&amp;AD8</f>
        <v>-да</v>
      </c>
      <c r="Z12" s="925"/>
      <c r="AA12" s="925"/>
      <c r="AB12" s="925"/>
      <c r="AC12" s="925"/>
      <c r="AD12" s="206"/>
      <c r="AE12" s="948"/>
      <c r="AF12" s="949"/>
      <c r="AG12" s="172" t="s">
        <v>520</v>
      </c>
      <c r="AH12" s="925"/>
      <c r="AI12" s="925"/>
      <c r="AJ12" s="925"/>
      <c r="AK12" s="925"/>
      <c r="AL12" s="925"/>
      <c r="AM12" s="925"/>
      <c r="AN12" s="925"/>
      <c r="AO12" s="925"/>
      <c r="AP12" s="925"/>
      <c r="AQ12" s="925"/>
      <c r="AR12" s="925"/>
      <c r="AS12" s="925"/>
      <c r="AT12" s="925"/>
      <c r="AU12" s="926" t="str">
        <f>AX8&amp;"-"&amp;AZ8</f>
        <v>-</v>
      </c>
      <c r="AV12" s="925"/>
      <c r="AW12" s="926" t="str">
        <f>AZ8&amp;"-"&amp;BB8</f>
        <v>-</v>
      </c>
      <c r="AX12" s="925"/>
      <c r="AY12" s="925"/>
      <c r="AZ12" s="925"/>
      <c r="BA12" s="925"/>
      <c r="BB12" s="947" t="str">
        <f>BE8&amp;"-"&amp;BG8</f>
        <v>-</v>
      </c>
      <c r="BC12" s="3840"/>
      <c r="BF12" s="3479" t="str">
        <f>IF(T12="","",T12)</f>
        <v/>
      </c>
      <c r="BI12" s="3432">
        <v>0</v>
      </c>
    </row>
    <row customHeight="1" ht="11.25" hidden="1">
      <c r="E13" s="3824"/>
      <c r="F13" s="3824"/>
      <c r="G13" s="3824"/>
      <c r="H13" s="3824"/>
      <c r="I13" s="3835"/>
      <c r="J13" s="3711"/>
      <c r="R13" s="3831"/>
      <c r="S13" s="844"/>
      <c r="T13" s="848" t="s">
        <v>483</v>
      </c>
      <c r="U13" s="200"/>
      <c r="V13" s="200"/>
      <c r="W13" s="200"/>
      <c r="X13" s="200"/>
      <c r="Y13" s="200"/>
      <c r="Z13" s="200"/>
      <c r="AA13" s="200"/>
      <c r="AB13" s="200"/>
      <c r="AC13" s="200"/>
      <c r="AD13" s="971"/>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846"/>
      <c r="BC13" s="3841"/>
      <c r="BF13" s="3479" t="str">
        <f>IF(T13="","",T13)</f>
        <v>Добавить строку</v>
      </c>
      <c r="BI13" s="3432">
        <v>0</v>
      </c>
    </row>
    <row customHeight="1" ht="14.25" hidden="1">
      <c r="E14" s="3824"/>
      <c r="F14" s="3824"/>
      <c r="G14" s="3824"/>
      <c r="H14" s="3824"/>
      <c r="I14" s="3711"/>
      <c r="R14" s="3831"/>
      <c r="S14" s="894"/>
      <c r="T14" s="895"/>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7"/>
      <c r="BF14" s="3479" t="str">
        <f>IF(T14="","",T14)</f>
        <v/>
      </c>
      <c r="BI14" s="3473">
        <v>0</v>
      </c>
    </row>
    <row customHeight="1" ht="14.25" hidden="1">
      <c r="E15" s="3824"/>
      <c r="F15" s="3824"/>
      <c r="G15" s="3824"/>
      <c r="H15" s="3817"/>
      <c r="R15" s="950"/>
      <c r="S15" s="894"/>
      <c r="T15" s="895"/>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6"/>
      <c r="AY15" s="896"/>
      <c r="AZ15" s="896"/>
      <c r="BA15" s="896"/>
      <c r="BB15" s="896"/>
      <c r="BC15" s="897"/>
      <c r="BF15" s="3479" t="str">
        <f>IF(T15="","",T15)</f>
        <v/>
      </c>
      <c r="BI15" s="3473">
        <v>0</v>
      </c>
    </row>
    <row customHeight="1" ht="14.25" hidden="1">
      <c r="E16" s="3824"/>
      <c r="F16" s="3824"/>
      <c r="G16" s="3817"/>
      <c r="BF16" s="3479" t="str">
        <f>IF(T16="","",T16)</f>
        <v/>
      </c>
      <c r="BI16" s="3473">
        <v>0</v>
      </c>
    </row>
    <row customHeight="1" ht="14.25" hidden="1">
      <c r="E17" s="3824"/>
      <c r="F17" s="3817"/>
      <c r="T17" s="856" t="s">
        <v>430</v>
      </c>
      <c r="BF17" s="3479" t="str">
        <f>IF(T17="","",T17)</f>
        <v>Добавить централизованную систему для дифференциации</v>
      </c>
      <c r="BI17" s="3473">
        <v>0</v>
      </c>
    </row>
    <row customHeight="1" ht="14.25" hidden="1">
      <c r="E18" s="3817"/>
      <c r="T18" s="856" t="s">
        <v>431</v>
      </c>
      <c r="BF18" s="3479" t="str">
        <f>IF(T18="","",T18)</f>
        <v>Добавить территорию для дифференциации</v>
      </c>
      <c r="BI18" s="3473">
        <v>0</v>
      </c>
    </row>
    <row customHeight="1" ht="14.25" hidden="1">
      <c r="BI19" s="3432">
        <v>0</v>
      </c>
    </row>
    <row customHeight="1" ht="14.25" hidden="1">
      <c r="AD20" s="951" t="s">
        <v>19</v>
      </c>
      <c r="AF20" s="951">
        <v>1</v>
      </c>
      <c r="AH20" s="951" t="s">
        <v>19</v>
      </c>
      <c r="AJ20" s="951">
        <v>1</v>
      </c>
      <c r="AL20" s="951" t="s">
        <v>19</v>
      </c>
      <c r="AN20" s="951">
        <v>1</v>
      </c>
      <c r="AP20" s="951" t="s">
        <v>19</v>
      </c>
      <c r="AR20" s="951">
        <v>1</v>
      </c>
      <c r="AT20" s="839"/>
      <c r="AU20" s="885"/>
      <c r="AV20" s="839"/>
      <c r="AW20" s="885"/>
      <c r="AX20" s="954"/>
      <c r="AY20" s="742" t="s">
        <v>61</v>
      </c>
      <c r="AZ20" s="954"/>
      <c r="BA20" s="742" t="s">
        <v>61</v>
      </c>
      <c r="BI20" s="3432">
        <v>0</v>
      </c>
    </row>
    <row customHeight="1" ht="14.25" hidden="1">
      <c r="BI21" s="3432">
        <v>0</v>
      </c>
    </row>
    <row customHeight="1" ht="14.25" hidden="1">
      <c r="O22" s="859" t="s">
        <v>432</v>
      </c>
      <c r="Z22" s="929"/>
      <c r="AB22" s="929"/>
      <c r="AX22" s="929"/>
      <c r="AZ22" s="929"/>
      <c r="BI22" s="3432">
        <v>0</v>
      </c>
    </row>
    <row customHeight="1" ht="14.25" hidden="1">
      <c r="BI23" s="3432">
        <v>0</v>
      </c>
    </row>
    <row customHeight="1" ht="14.25" hidden="1">
      <c r="O24" s="3897" t="s">
        <v>433</v>
      </c>
      <c r="AA24" s="3897" t="s">
        <v>435</v>
      </c>
      <c r="AC24" s="3897" t="s">
        <v>436</v>
      </c>
      <c r="AD24" s="3897" t="s">
        <v>484</v>
      </c>
      <c r="AH24" s="3897" t="s">
        <v>484</v>
      </c>
      <c r="AK24" s="3897" t="s">
        <v>521</v>
      </c>
      <c r="AL24" s="3897" t="s">
        <v>484</v>
      </c>
      <c r="AP24" s="3897" t="s">
        <v>484</v>
      </c>
      <c r="AY24" s="3897" t="s">
        <v>435</v>
      </c>
      <c r="BA24" s="3897" t="s">
        <v>436</v>
      </c>
      <c r="BI24" s="3897">
        <v>0</v>
      </c>
    </row>
    <row customHeight="1" ht="14.25" hidden="1">
      <c r="BI25" s="3432">
        <v>0</v>
      </c>
    </row>
    <row customHeight="1" ht="14.25" hidden="1">
      <c r="BI26" s="3432">
        <v>0</v>
      </c>
    </row>
    <row customHeight="1" ht="14.699999999999998">
      <c r="Q27" s="3898"/>
      <c r="R27" s="3719"/>
      <c r="S27" s="3842"/>
      <c r="T27" s="3450"/>
      <c r="U27" s="3450"/>
      <c r="BI27" s="3432">
        <v>14</v>
      </c>
    </row>
    <row customHeight="1" ht="14.699999999999998">
      <c r="Q28" s="3898"/>
      <c r="R28" s="3719"/>
      <c r="S28" s="3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646"/>
      <c r="U28" s="3646"/>
      <c r="V28" s="3646"/>
      <c r="W28" s="3646"/>
      <c r="X28" s="3646"/>
      <c r="Y28" s="3646"/>
      <c r="Z28" s="3646"/>
      <c r="AA28" s="3646"/>
      <c r="AB28" s="3646"/>
      <c r="AC28" s="3646"/>
      <c r="AD28" s="3646"/>
      <c r="AE28" s="3646"/>
      <c r="AF28" s="3646"/>
      <c r="AG28" s="3646"/>
      <c r="AH28" s="3646"/>
      <c r="AI28" s="3646"/>
      <c r="AJ28" s="3646"/>
      <c r="AK28" s="3646"/>
      <c r="AL28" s="3646"/>
      <c r="AM28" s="3646"/>
      <c r="AN28" s="3646"/>
      <c r="AO28" s="3646"/>
      <c r="AP28" s="3646"/>
      <c r="AQ28" s="3646"/>
      <c r="AR28" s="3646"/>
      <c r="AS28" s="3646"/>
      <c r="AT28" s="3646"/>
      <c r="AU28" s="3646"/>
      <c r="AV28" s="3646"/>
      <c r="AW28" s="3646"/>
      <c r="AX28" s="3646"/>
      <c r="AY28" s="3646"/>
      <c r="AZ28" s="3646"/>
      <c r="BI28" s="3432">
        <v>14</v>
      </c>
    </row>
    <row customHeight="1" ht="14.699999999999998">
      <c r="Q29" s="3898"/>
      <c r="R29" s="3719"/>
      <c r="S29" s="3554" t="str">
        <f>IF(org=0,"Не определено",org)</f>
        <v>ООО "ТеплоЭлектроГенерирующая Компания"</v>
      </c>
      <c r="T29" s="3554"/>
      <c r="U29" s="3554"/>
      <c r="V29" s="3554"/>
      <c r="W29" s="3554"/>
      <c r="X29" s="3554"/>
      <c r="Y29" s="3554"/>
      <c r="Z29" s="3554"/>
      <c r="AA29" s="3554"/>
      <c r="AB29" s="3554"/>
      <c r="AC29" s="3554"/>
      <c r="AD29" s="3554"/>
      <c r="AE29" s="3554"/>
      <c r="AF29" s="3554"/>
      <c r="AG29" s="3554"/>
      <c r="AH29" s="3554"/>
      <c r="AI29" s="3554"/>
      <c r="AJ29" s="3554"/>
      <c r="AK29" s="3554"/>
      <c r="AL29" s="3554"/>
      <c r="AM29" s="3554"/>
      <c r="AN29" s="3554"/>
      <c r="AO29" s="3554"/>
      <c r="AP29" s="3554"/>
      <c r="AQ29" s="3554"/>
      <c r="AR29" s="3554"/>
      <c r="AS29" s="3554"/>
      <c r="AT29" s="3554"/>
      <c r="AU29" s="3554"/>
      <c r="AV29" s="3554"/>
      <c r="AW29" s="3554"/>
      <c r="AX29" s="3554"/>
      <c r="AY29" s="3554"/>
      <c r="AZ29" s="3554"/>
      <c r="BI29" s="3432">
        <v>14</v>
      </c>
    </row>
    <row customHeight="1" ht="14.25" hidden="1">
      <c r="Q30" s="3898"/>
      <c r="R30" s="3719"/>
      <c r="S30" s="3842"/>
      <c r="T30" s="3450"/>
      <c r="U30" s="3450"/>
      <c r="V30" s="3804"/>
      <c r="W30" s="3804"/>
      <c r="X30" s="3804"/>
      <c r="Y30" s="3804"/>
      <c r="Z30" s="3804"/>
      <c r="AA30" s="3804"/>
      <c r="AB30" s="3804"/>
      <c r="AC30" s="3804"/>
      <c r="AD30" s="3804"/>
      <c r="AE30" s="3804"/>
      <c r="AF30" s="3804"/>
      <c r="AG30" s="3804"/>
      <c r="AH30" s="3804"/>
      <c r="AI30" s="3804"/>
      <c r="AJ30" s="3804"/>
      <c r="AK30" s="3804"/>
      <c r="AL30" s="3804"/>
      <c r="AM30" s="3804"/>
      <c r="AN30" s="3804"/>
      <c r="AO30" s="3804"/>
      <c r="AP30" s="3804"/>
      <c r="AQ30" s="3804"/>
      <c r="AR30" s="3804"/>
      <c r="AS30" s="3804"/>
      <c r="AT30" s="3804"/>
      <c r="AU30" s="3804"/>
      <c r="AV30" s="3804"/>
      <c r="AW30" s="3804"/>
      <c r="AX30" s="3804"/>
      <c r="AY30" s="3804"/>
      <c r="AZ30" s="3804"/>
      <c r="BA30" s="3804"/>
      <c r="BI30" s="3432">
        <v>0</v>
      </c>
    </row>
    <row customHeight="1" ht="25.5" hidden="1">
      <c r="S31" s="3843" t="s">
        <v>41</v>
      </c>
      <c r="T31" s="3843"/>
      <c r="U31" s="3844"/>
      <c r="V31" s="3806" t="str">
        <f>IF(TITLE_NAME_OR_PR_CHANGE="",IF(TITLE_NAME_OR_PR="","",TITLE_NAME_OR_PR),TITLE_NAME_OR_PR_CHANGE)</f>
        <v/>
      </c>
      <c r="W31" s="3806"/>
      <c r="X31" s="3806"/>
      <c r="Y31" s="3806"/>
      <c r="Z31" s="3806"/>
      <c r="AA31" s="3806"/>
      <c r="AB31" s="3806"/>
      <c r="AD31" s="3806" t="str">
        <f>IF(TITLE_NAME_OR_PR_CHANGE="",IF(TITLE_NAME_OR_PR="","",TITLE_NAME_OR_PR),TITLE_NAME_OR_PR_CHANGE)</f>
        <v/>
      </c>
      <c r="AE31" s="3806"/>
      <c r="AF31" s="3806"/>
      <c r="AG31" s="3806"/>
      <c r="AH31" s="3806"/>
      <c r="AI31" s="3806"/>
      <c r="AJ31" s="3806"/>
      <c r="AK31" s="3806"/>
      <c r="AL31" s="3806"/>
      <c r="AM31" s="3806"/>
      <c r="AN31" s="3806"/>
      <c r="AO31" s="3806"/>
      <c r="AP31" s="3806"/>
      <c r="AQ31" s="3806"/>
      <c r="AR31" s="3806"/>
      <c r="AS31" s="3806"/>
      <c r="AT31" s="3806"/>
      <c r="AU31" s="3806"/>
      <c r="AV31" s="3806"/>
      <c r="AW31" s="3806"/>
      <c r="AX31" s="3806"/>
      <c r="AY31" s="3806"/>
      <c r="AZ31" s="3806"/>
      <c r="BI31" s="3489">
        <v>0</v>
      </c>
    </row>
    <row customHeight="1" ht="18.75" hidden="1">
      <c r="S32" s="3843" t="s">
        <v>438</v>
      </c>
      <c r="T32" s="3843"/>
      <c r="U32" s="3844"/>
      <c r="V32" s="795" t="str">
        <f>IF(TITLE_DATE_PR_CHANGE="",IF(TITLE_DATE_PR="","",TITLE_DATE_PR),TITLE_DATE_PR_CHANGE)</f>
        <v/>
      </c>
      <c r="W32" s="795"/>
      <c r="X32" s="795"/>
      <c r="Y32" s="795"/>
      <c r="Z32" s="795"/>
      <c r="AA32" s="795"/>
      <c r="AB32" s="795"/>
      <c r="AD32" s="795" t="str">
        <f>IF(TITLE_DATE_PR_CHANGE="",IF(TITLE_DATE_PR="","",TITLE_DATE_PR),TITLE_DATE_PR_CHANGE)</f>
        <v/>
      </c>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I32" s="3489">
        <v>0</v>
      </c>
    </row>
    <row customHeight="1" ht="18.75" hidden="1">
      <c r="S33" s="3843" t="s">
        <v>439</v>
      </c>
      <c r="T33" s="3843"/>
      <c r="U33" s="3844"/>
      <c r="V33" s="3806" t="str">
        <f>IF(TITLE_NUMBER_PR_CHANGE="",IF(TITLE_NUMBER_PR="","",TITLE_NUMBER_PR),TITLE_NUMBER_PR_CHANGE)</f>
        <v/>
      </c>
      <c r="W33" s="3806"/>
      <c r="X33" s="3806"/>
      <c r="Y33" s="3806"/>
      <c r="Z33" s="3806"/>
      <c r="AA33" s="3806"/>
      <c r="AB33" s="3806"/>
      <c r="AD33" s="3806" t="str">
        <f>IF(TITLE_NUMBER_PR_CHANGE="",IF(TITLE_NUMBER_PR="","",TITLE_NUMBER_PR),TITLE_NUMBER_PR_CHANGE)</f>
        <v/>
      </c>
      <c r="AE33" s="3806"/>
      <c r="AF33" s="3806"/>
      <c r="AG33" s="3806"/>
      <c r="AH33" s="3806"/>
      <c r="AI33" s="3806"/>
      <c r="AJ33" s="3806"/>
      <c r="AK33" s="3806"/>
      <c r="AL33" s="3806"/>
      <c r="AM33" s="3806"/>
      <c r="AN33" s="3806"/>
      <c r="AO33" s="3806"/>
      <c r="AP33" s="3806"/>
      <c r="AQ33" s="3806"/>
      <c r="AR33" s="3806"/>
      <c r="AS33" s="3806"/>
      <c r="AT33" s="3806"/>
      <c r="AU33" s="3806"/>
      <c r="AV33" s="3806"/>
      <c r="AW33" s="3806"/>
      <c r="AX33" s="3806"/>
      <c r="AY33" s="3806"/>
      <c r="AZ33" s="3806"/>
      <c r="BI33" s="3489">
        <v>0</v>
      </c>
    </row>
    <row customHeight="1" ht="18.75" hidden="1">
      <c r="S34" s="3843" t="s">
        <v>42</v>
      </c>
      <c r="T34" s="3843"/>
      <c r="U34" s="3844"/>
      <c r="V34" s="3806" t="str">
        <f>IF(TITLE_IST_PUB_CHANGE="",IF(TITLE_IST_PUB="","",TITLE_IST_PUB),TITLE_IST_PUB_CHANGE)</f>
        <v/>
      </c>
      <c r="W34" s="3806"/>
      <c r="X34" s="3806"/>
      <c r="Y34" s="3806"/>
      <c r="Z34" s="3806"/>
      <c r="AA34" s="3806"/>
      <c r="AB34" s="3806"/>
      <c r="AD34" s="3806" t="str">
        <f>IF(TITLE_IST_PUB_CHANGE="",IF(TITLE_IST_PUB="","",TITLE_IST_PUB),TITLE_IST_PUB_CHANGE)</f>
        <v/>
      </c>
      <c r="AE34" s="3806"/>
      <c r="AF34" s="3806"/>
      <c r="AG34" s="3806"/>
      <c r="AH34" s="3806"/>
      <c r="AI34" s="3806"/>
      <c r="AJ34" s="3806"/>
      <c r="AK34" s="3806"/>
      <c r="AL34" s="3806"/>
      <c r="AM34" s="3806"/>
      <c r="AN34" s="3806"/>
      <c r="AO34" s="3806"/>
      <c r="AP34" s="3806"/>
      <c r="AQ34" s="3806"/>
      <c r="AR34" s="3806"/>
      <c r="AS34" s="3806"/>
      <c r="AT34" s="3806"/>
      <c r="AU34" s="3806"/>
      <c r="AV34" s="3806"/>
      <c r="AW34" s="3806"/>
      <c r="AX34" s="3806"/>
      <c r="AY34" s="3806"/>
      <c r="AZ34" s="3806"/>
      <c r="BI34" s="3489">
        <v>0</v>
      </c>
    </row>
    <row customHeight="1" ht="14.25" hidden="1">
      <c r="Q35" s="3898"/>
      <c r="R35" s="3719"/>
      <c r="S35" s="3842"/>
      <c r="T35" s="3450"/>
      <c r="U35" s="3450"/>
      <c r="V35" s="3804"/>
      <c r="W35" s="3804"/>
      <c r="X35" s="3804"/>
      <c r="Y35" s="3804"/>
      <c r="Z35" s="3804"/>
      <c r="AA35" s="3804"/>
      <c r="AB35" s="3804"/>
      <c r="AC35" s="3804"/>
      <c r="AD35" s="3804"/>
      <c r="AE35" s="3804"/>
      <c r="AF35" s="3804"/>
      <c r="AG35" s="3804"/>
      <c r="AH35" s="3804"/>
      <c r="AI35" s="3804"/>
      <c r="AJ35" s="3804"/>
      <c r="AK35" s="3804"/>
      <c r="AL35" s="3804"/>
      <c r="AM35" s="3804"/>
      <c r="AN35" s="3804"/>
      <c r="AO35" s="3804"/>
      <c r="AP35" s="3804"/>
      <c r="AQ35" s="3804"/>
      <c r="AR35" s="3804"/>
      <c r="AS35" s="3804"/>
      <c r="AT35" s="3804"/>
      <c r="AU35" s="3804"/>
      <c r="AV35" s="3804"/>
      <c r="AW35" s="3804"/>
      <c r="AX35" s="3804"/>
      <c r="AY35" s="3804"/>
      <c r="AZ35" s="3804"/>
      <c r="BA35" s="3804"/>
      <c r="BI35" s="3432">
        <v>0</v>
      </c>
    </row>
    <row customHeight="1" ht="18.75" hidden="1">
      <c r="S36" s="3843" t="s">
        <v>438</v>
      </c>
      <c r="T36" s="3843"/>
      <c r="U36" s="3844"/>
      <c r="V36" s="795" t="str">
        <f>IF(TITLE_DATE_PR_CHANGE="",IF(TITLE_DATE_PR="","",TITLE_DATE_PR),TITLE_DATE_PR_CHANGE)</f>
        <v/>
      </c>
      <c r="W36" s="795"/>
      <c r="X36" s="795"/>
      <c r="Y36" s="795"/>
      <c r="Z36" s="795"/>
      <c r="AA36" s="795"/>
      <c r="AB36" s="795"/>
      <c r="AD36" s="795" t="str">
        <f>IF(TITLE_DATE_PR_CHANGE="",IF(TITLE_DATE_PR="","",TITLE_DATE_PR),TITLE_DATE_PR_CHANGE)</f>
        <v/>
      </c>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I36" s="3489">
        <v>0</v>
      </c>
    </row>
    <row customHeight="1" ht="18.75" hidden="1">
      <c r="S37" s="3843" t="s">
        <v>439</v>
      </c>
      <c r="T37" s="3843"/>
      <c r="U37" s="3844"/>
      <c r="V37" s="3806" t="str">
        <f>IF(TITLE_NUMBER_PR_CHANGE="",IF(TITLE_NUMBER_PR="","",TITLE_NUMBER_PR),TITLE_NUMBER_PR_CHANGE)</f>
        <v/>
      </c>
      <c r="W37" s="3806"/>
      <c r="X37" s="3806"/>
      <c r="Y37" s="3806"/>
      <c r="Z37" s="3806"/>
      <c r="AA37" s="3806"/>
      <c r="AB37" s="3806"/>
      <c r="AD37" s="3806" t="str">
        <f>IF(TITLE_NUMBER_PR_CHANGE="",IF(TITLE_NUMBER_PR="","",TITLE_NUMBER_PR),TITLE_NUMBER_PR_CHANGE)</f>
        <v/>
      </c>
      <c r="AE37" s="3806"/>
      <c r="AF37" s="3806"/>
      <c r="AG37" s="3806"/>
      <c r="AH37" s="3806"/>
      <c r="AI37" s="3806"/>
      <c r="AJ37" s="3806"/>
      <c r="AK37" s="3806"/>
      <c r="AL37" s="3806"/>
      <c r="AM37" s="3806"/>
      <c r="AN37" s="3806"/>
      <c r="AO37" s="3806"/>
      <c r="AP37" s="3806"/>
      <c r="AQ37" s="3806"/>
      <c r="AR37" s="3806"/>
      <c r="AS37" s="3806"/>
      <c r="AT37" s="3806"/>
      <c r="AU37" s="3806"/>
      <c r="AV37" s="3806"/>
      <c r="AW37" s="3806"/>
      <c r="AX37" s="3806"/>
      <c r="AY37" s="3806"/>
      <c r="AZ37" s="3806"/>
      <c r="BI37" s="3489">
        <v>0</v>
      </c>
    </row>
    <row customHeight="1" ht="0">
      <c r="AC38" s="3473" t="s">
        <v>442</v>
      </c>
      <c r="BA38" s="3473" t="s">
        <v>442</v>
      </c>
      <c r="BI38" s="3489">
        <v>0</v>
      </c>
    </row>
    <row customHeight="1" ht="14.699999999999998">
      <c r="Q39" s="3898"/>
      <c r="R39" s="3719"/>
      <c r="S39" s="3842"/>
      <c r="T39" s="3450"/>
      <c r="U39" s="3845"/>
      <c r="V39" s="3846"/>
      <c r="W39" s="3846"/>
      <c r="X39" s="3846"/>
      <c r="Y39" s="3846"/>
      <c r="Z39" s="3846"/>
      <c r="AA39" s="3846"/>
      <c r="AB39" s="3846"/>
      <c r="AC39" s="3846"/>
      <c r="AD39" s="3846"/>
      <c r="AE39" s="3846"/>
      <c r="AF39" s="3846"/>
      <c r="AG39" s="3846"/>
      <c r="AH39" s="3846"/>
      <c r="AI39" s="3846"/>
      <c r="AJ39" s="3846"/>
      <c r="AK39" s="3846"/>
      <c r="AL39" s="3846"/>
      <c r="AM39" s="3846"/>
      <c r="AN39" s="3846"/>
      <c r="AO39" s="3846"/>
      <c r="AP39" s="3846"/>
      <c r="AQ39" s="3846"/>
      <c r="AR39" s="3846"/>
      <c r="AS39" s="3846"/>
      <c r="AT39" s="3846"/>
      <c r="AU39" s="3846"/>
      <c r="AV39" s="3846"/>
      <c r="AW39" s="3846"/>
      <c r="AX39" s="3846"/>
      <c r="AY39" s="3846"/>
      <c r="AZ39" s="3846"/>
      <c r="BA39" s="3846"/>
      <c r="BI39" s="3432">
        <v>14</v>
      </c>
    </row>
    <row customHeight="1" ht="14.699999999999998">
      <c r="Q40" s="3898"/>
      <c r="R40" s="3719"/>
      <c r="S40" s="3480" t="s">
        <v>315</v>
      </c>
      <c r="T40" s="3480"/>
      <c r="U40" s="3480"/>
      <c r="V40" s="3480"/>
      <c r="W40" s="3480"/>
      <c r="X40" s="3480"/>
      <c r="Y40" s="3480"/>
      <c r="Z40" s="3480"/>
      <c r="AA40" s="3480"/>
      <c r="AB40" s="3480"/>
      <c r="AC40" s="3480"/>
      <c r="AD40" s="3480"/>
      <c r="AE40" s="3480"/>
      <c r="AF40" s="3480"/>
      <c r="AG40" s="3480"/>
      <c r="AH40" s="3480"/>
      <c r="AI40" s="3480"/>
      <c r="AJ40" s="3480"/>
      <c r="AK40" s="3480"/>
      <c r="AL40" s="3480"/>
      <c r="AM40" s="3480"/>
      <c r="AN40" s="3480"/>
      <c r="AO40" s="3480"/>
      <c r="AP40" s="3480"/>
      <c r="AQ40" s="3480"/>
      <c r="AR40" s="3480"/>
      <c r="AS40" s="3480"/>
      <c r="AT40" s="3480"/>
      <c r="AU40" s="3480"/>
      <c r="AV40" s="3480"/>
      <c r="AW40" s="3480"/>
      <c r="AX40" s="3480"/>
      <c r="AY40" s="3480"/>
      <c r="AZ40" s="3480"/>
      <c r="BA40" s="3480"/>
      <c r="BB40" s="3480"/>
      <c r="BC40" s="3480" t="s">
        <v>316</v>
      </c>
      <c r="BI40" s="3432">
        <v>14</v>
      </c>
    </row>
    <row customHeight="1" ht="14.699999999999998">
      <c r="Q41" s="3898"/>
      <c r="R41" s="3719"/>
      <c r="S41" s="3818" t="s">
        <v>86</v>
      </c>
      <c r="T41" s="3579" t="s">
        <v>522</v>
      </c>
      <c r="U41" s="3793"/>
      <c r="V41" s="3847" t="s">
        <v>444</v>
      </c>
      <c r="W41" s="3848"/>
      <c r="X41" s="3848"/>
      <c r="Y41" s="3848"/>
      <c r="Z41" s="3848"/>
      <c r="AA41" s="3848"/>
      <c r="AB41" s="3849"/>
      <c r="AC41" s="3807" t="s">
        <v>445</v>
      </c>
      <c r="AD41" s="3900" t="s">
        <v>523</v>
      </c>
      <c r="AE41" s="3858"/>
      <c r="AF41" s="3858"/>
      <c r="AG41" s="3901"/>
      <c r="AH41" s="3900" t="s">
        <v>524</v>
      </c>
      <c r="AI41" s="3858"/>
      <c r="AJ41" s="3858"/>
      <c r="AK41" s="3901"/>
      <c r="AL41" s="3900" t="s">
        <v>525</v>
      </c>
      <c r="AM41" s="3858"/>
      <c r="AN41" s="3858"/>
      <c r="AO41" s="3901"/>
      <c r="AP41" s="3900" t="s">
        <v>526</v>
      </c>
      <c r="AQ41" s="3858"/>
      <c r="AR41" s="3858"/>
      <c r="AS41" s="3901"/>
      <c r="AT41" s="3847" t="s">
        <v>444</v>
      </c>
      <c r="AU41" s="3848"/>
      <c r="AV41" s="3848"/>
      <c r="AW41" s="3848"/>
      <c r="AX41" s="3848"/>
      <c r="AY41" s="3848"/>
      <c r="AZ41" s="3849"/>
      <c r="BA41" s="3807" t="s">
        <v>445</v>
      </c>
      <c r="BB41" s="868" t="s">
        <v>447</v>
      </c>
      <c r="BC41" s="3480"/>
      <c r="BI41" s="3432">
        <v>14</v>
      </c>
    </row>
    <row customHeight="1" ht="35.699999999999996">
      <c r="Q42" s="3898"/>
      <c r="R42" s="3719"/>
      <c r="S42" s="3818"/>
      <c r="T42" s="3579"/>
      <c r="U42" s="3798"/>
      <c r="V42" s="3555" t="s">
        <v>527</v>
      </c>
      <c r="W42" s="3556"/>
      <c r="X42" s="3555" t="s">
        <v>528</v>
      </c>
      <c r="Y42" s="3556"/>
      <c r="Z42" s="3555" t="s">
        <v>529</v>
      </c>
      <c r="AA42" s="3886"/>
      <c r="AB42" s="3556"/>
      <c r="AC42" s="3851"/>
      <c r="AD42" s="3903"/>
      <c r="AE42" s="3904"/>
      <c r="AF42" s="3904"/>
      <c r="AG42" s="3905"/>
      <c r="AH42" s="3903"/>
      <c r="AI42" s="3904"/>
      <c r="AJ42" s="3904"/>
      <c r="AK42" s="3905"/>
      <c r="AL42" s="3903"/>
      <c r="AM42" s="3904"/>
      <c r="AN42" s="3904"/>
      <c r="AO42" s="3905"/>
      <c r="AP42" s="3903"/>
      <c r="AQ42" s="3904"/>
      <c r="AR42" s="3904"/>
      <c r="AS42" s="3905"/>
      <c r="AT42" s="3555" t="s">
        <v>527</v>
      </c>
      <c r="AU42" s="3556"/>
      <c r="AV42" s="3555" t="s">
        <v>528</v>
      </c>
      <c r="AW42" s="3556"/>
      <c r="AX42" s="3555" t="s">
        <v>529</v>
      </c>
      <c r="AY42" s="3886"/>
      <c r="AZ42" s="3556"/>
      <c r="BA42" s="3851"/>
      <c r="BB42" s="871"/>
      <c r="BC42" s="3480"/>
      <c r="BI42" s="3432">
        <v>34</v>
      </c>
    </row>
    <row customHeight="1" ht="14.699999999999998">
      <c r="Q43" s="3898"/>
      <c r="R43" s="3719"/>
      <c r="S43" s="3818"/>
      <c r="T43" s="3579"/>
      <c r="U43" s="3798"/>
      <c r="V43" s="3561"/>
      <c r="W43" s="3562"/>
      <c r="X43" s="3561"/>
      <c r="Y43" s="3562"/>
      <c r="Z43" s="3561"/>
      <c r="AA43" s="3887"/>
      <c r="AB43" s="3562"/>
      <c r="AC43" s="3851"/>
      <c r="AD43" s="3903"/>
      <c r="AE43" s="3904"/>
      <c r="AF43" s="3904"/>
      <c r="AG43" s="3905"/>
      <c r="AH43" s="3903"/>
      <c r="AI43" s="3904"/>
      <c r="AJ43" s="3904"/>
      <c r="AK43" s="3905"/>
      <c r="AL43" s="3903"/>
      <c r="AM43" s="3904"/>
      <c r="AN43" s="3904"/>
      <c r="AO43" s="3905"/>
      <c r="AP43" s="3903"/>
      <c r="AQ43" s="3904"/>
      <c r="AR43" s="3904"/>
      <c r="AS43" s="3905"/>
      <c r="AT43" s="3561"/>
      <c r="AU43" s="3562"/>
      <c r="AV43" s="3561"/>
      <c r="AW43" s="3562"/>
      <c r="AX43" s="3561"/>
      <c r="AY43" s="3887"/>
      <c r="AZ43" s="3562"/>
      <c r="BA43" s="3851"/>
      <c r="BB43" s="871"/>
      <c r="BC43" s="3480"/>
      <c r="BI43" s="3432">
        <v>14</v>
      </c>
    </row>
    <row customHeight="1" ht="14.699999999999998">
      <c r="B44" s="3511" t="s">
        <v>153</v>
      </c>
      <c r="C44" s="3511" t="s">
        <v>154</v>
      </c>
      <c r="D44" s="3511" t="s">
        <v>155</v>
      </c>
      <c r="E44" s="3830" t="s">
        <v>452</v>
      </c>
      <c r="F44" s="3830" t="s">
        <v>453</v>
      </c>
      <c r="G44" s="3830" t="s">
        <v>454</v>
      </c>
      <c r="H44" s="3830" t="s">
        <v>455</v>
      </c>
      <c r="I44" s="3830" t="s">
        <v>456</v>
      </c>
      <c r="J44" s="3830" t="s">
        <v>457</v>
      </c>
      <c r="K44" s="3830" t="s">
        <v>458</v>
      </c>
      <c r="L44" s="3830" t="s">
        <v>433</v>
      </c>
      <c r="Q44" s="3898"/>
      <c r="R44" s="3719"/>
      <c r="S44" s="3818"/>
      <c r="T44" s="3579"/>
      <c r="U44" s="3852"/>
      <c r="V44" s="3579" t="s">
        <v>493</v>
      </c>
      <c r="W44" s="3579" t="s">
        <v>494</v>
      </c>
      <c r="X44" s="3579" t="s">
        <v>493</v>
      </c>
      <c r="Y44" s="3579" t="s">
        <v>494</v>
      </c>
      <c r="Z44" s="3525" t="s">
        <v>461</v>
      </c>
      <c r="AA44" s="3626" t="s">
        <v>462</v>
      </c>
      <c r="AB44" s="3628"/>
      <c r="AC44" s="3810"/>
      <c r="AD44" s="3909"/>
      <c r="AE44" s="3910"/>
      <c r="AF44" s="3910"/>
      <c r="AG44" s="3911"/>
      <c r="AH44" s="3909"/>
      <c r="AI44" s="3910"/>
      <c r="AJ44" s="3910"/>
      <c r="AK44" s="3911"/>
      <c r="AL44" s="3909"/>
      <c r="AM44" s="3910"/>
      <c r="AN44" s="3910"/>
      <c r="AO44" s="3911"/>
      <c r="AP44" s="3909"/>
      <c r="AQ44" s="3910"/>
      <c r="AR44" s="3910"/>
      <c r="AS44" s="3911"/>
      <c r="AT44" s="3579" t="s">
        <v>493</v>
      </c>
      <c r="AU44" s="3579" t="s">
        <v>494</v>
      </c>
      <c r="AV44" s="3579" t="s">
        <v>493</v>
      </c>
      <c r="AW44" s="3579" t="s">
        <v>494</v>
      </c>
      <c r="AX44" s="3525" t="s">
        <v>461</v>
      </c>
      <c r="AY44" s="3626" t="s">
        <v>462</v>
      </c>
      <c r="AZ44" s="3628"/>
      <c r="BA44" s="3810"/>
      <c r="BB44" s="873"/>
      <c r="BC44" s="3480"/>
      <c r="BI44" s="3432">
        <v>14</v>
      </c>
    </row>
    <row customHeight="1" ht="11.25" hidden="1">
      <c r="Q45" s="3854"/>
      <c r="R45" s="3854">
        <v>1</v>
      </c>
      <c r="S45" s="876" t="s">
        <v>107</v>
      </c>
      <c r="T45" s="877" t="s">
        <v>108</v>
      </c>
      <c r="U45" s="3855" t="str">
        <f>OFFSET(U45,0,-1)</f>
        <v>2</v>
      </c>
      <c r="V45" s="3856">
        <f>OFFSET(V45,0,-1)+1</f>
        <v>3</v>
      </c>
      <c r="W45" s="3856">
        <f>OFFSET(W45,0,-1)+1</f>
        <v>4</v>
      </c>
      <c r="X45" s="3856">
        <f>OFFSET(X45,0,-1)+1</f>
        <v>5</v>
      </c>
      <c r="Y45" s="3856">
        <f>OFFSET(Y45,0,-1)+1</f>
        <v>6</v>
      </c>
      <c r="Z45" s="3856">
        <f>OFFSET(Z45,0,-1)+1</f>
        <v>7</v>
      </c>
      <c r="AA45" s="3856">
        <f>OFFSET(AA45,0,-1)+1</f>
        <v>8</v>
      </c>
      <c r="AB45" s="3856"/>
      <c r="AC45" s="3856">
        <f>OFFSET(AC45,0,-2)+1</f>
        <v>9</v>
      </c>
      <c r="AD45" s="3856">
        <f>OFFSET(AD45,0,-1)+1</f>
        <v>10</v>
      </c>
      <c r="AE45" s="3856"/>
      <c r="AF45" s="3856"/>
      <c r="AG45" s="3856"/>
      <c r="AH45" s="3856"/>
      <c r="AI45" s="3856"/>
      <c r="AJ45" s="3856"/>
      <c r="AK45" s="3856"/>
      <c r="AL45" s="3856"/>
      <c r="AM45" s="3856"/>
      <c r="AN45" s="3856"/>
      <c r="AO45" s="3856"/>
      <c r="AP45" s="3856"/>
      <c r="AQ45" s="3856"/>
      <c r="AR45" s="3856"/>
      <c r="AS45" s="3856"/>
      <c r="AT45" s="3856"/>
      <c r="AU45" s="3856"/>
      <c r="AV45" s="3856"/>
      <c r="AW45" s="3856">
        <f>OFFSET(AW45,0,-1)+1</f>
        <v>1</v>
      </c>
      <c r="AX45" s="3856">
        <f>OFFSET(AX45,0,-1)+1</f>
        <v>2</v>
      </c>
      <c r="AY45" s="3856">
        <f>OFFSET(AY45,0,-1)+1</f>
        <v>3</v>
      </c>
      <c r="AZ45" s="3856"/>
      <c r="BA45" s="3856">
        <f>OFFSET(BA45,0,-2)+1</f>
        <v>4</v>
      </c>
      <c r="BB45" s="3855">
        <f>OFFSET(BB45,0,-1)</f>
        <v>4</v>
      </c>
      <c r="BC45" s="3856">
        <f>OFFSET(BC45,0,-1)+1</f>
        <v>5</v>
      </c>
      <c r="BI45" s="3637">
        <v>0</v>
      </c>
    </row>
    <row customHeight="1" ht="22.049999999999997">
      <c r="A46" s="3857" t="s">
        <v>261</v>
      </c>
      <c r="E46" s="3817">
        <v>1</v>
      </c>
      <c r="R46" s="816"/>
      <c r="S46" s="3818">
        <f>INDEX(PT_DIFFERENTIATION_NUM_NTAR,MATCH(A46,PT_DIFFERENTIATION_NTAR_ID,0))</f>
        <v>0</v>
      </c>
      <c r="T46" s="3764" t="s">
        <v>141</v>
      </c>
      <c r="U46" s="3819"/>
      <c r="V46" s="3821"/>
      <c r="W46" s="3821"/>
      <c r="X46" s="3821"/>
      <c r="Y46" s="3821"/>
      <c r="Z46" s="3821"/>
      <c r="AA46" s="3821"/>
      <c r="AB46" s="3821"/>
      <c r="AC46" s="3822"/>
      <c r="AD46" s="3820" t="str">
        <f>INDEX(PT_DIFFERENTIATION_NTAR,MATCH(A46,PT_DIFFERENTIATION_NTAR_ID,0))</f>
        <v/>
      </c>
      <c r="AE46" s="3821"/>
      <c r="AF46" s="3821"/>
      <c r="AG46" s="3821"/>
      <c r="AH46" s="3821"/>
      <c r="AI46" s="3821"/>
      <c r="AJ46" s="3821"/>
      <c r="AK46" s="3821"/>
      <c r="AL46" s="3821"/>
      <c r="AM46" s="3821"/>
      <c r="AN46" s="3821"/>
      <c r="AO46" s="3821"/>
      <c r="AP46" s="3821"/>
      <c r="AQ46" s="3821"/>
      <c r="AR46" s="3821"/>
      <c r="AS46" s="3821"/>
      <c r="AT46" s="3821"/>
      <c r="AU46" s="3821"/>
      <c r="AV46" s="3821"/>
      <c r="AW46" s="3821"/>
      <c r="AX46" s="3821"/>
      <c r="AY46" s="3821"/>
      <c r="AZ46" s="3821"/>
      <c r="BA46" s="3821"/>
      <c r="BB46" s="3822"/>
      <c r="BC46"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3479" t="str">
        <f>IF(T46="","",T46)</f>
        <v>Наименование тарифа</v>
      </c>
      <c r="BI46" s="3432">
        <v>21</v>
      </c>
    </row>
    <row customHeight="1" ht="22.049999999999997">
      <c r="A47" s="3857" t="s">
        <v>261</v>
      </c>
      <c r="B47" s="3857" t="s">
        <v>262</v>
      </c>
      <c r="E47" s="3824"/>
      <c r="F47" s="3817">
        <v>1</v>
      </c>
      <c r="Q47" s="3890"/>
      <c r="R47" s="3826"/>
      <c r="S47" s="3818" t="str">
        <f>INDEX(PT_DIFFERENTIATION_NUM_TER,MATCH(B47,PT_DIFFERENTIATION_TER_ID,0))</f>
        <v>.</v>
      </c>
      <c r="T47" s="3827" t="s">
        <v>412</v>
      </c>
      <c r="U47" s="3819"/>
      <c r="V47" s="3821"/>
      <c r="W47" s="3821"/>
      <c r="X47" s="3821"/>
      <c r="Y47" s="3821"/>
      <c r="Z47" s="3821"/>
      <c r="AA47" s="3821"/>
      <c r="AB47" s="3821"/>
      <c r="AC47" s="3822"/>
      <c r="AD47" s="3820" t="str">
        <f>INDEX(PT_DIFFERENTIATION_TER,MATCH(B47,PT_DIFFERENTIATION_TER_ID,0))</f>
        <v/>
      </c>
      <c r="AE47" s="3821"/>
      <c r="AF47" s="3821"/>
      <c r="AG47" s="3821"/>
      <c r="AH47" s="3821"/>
      <c r="AI47" s="3821"/>
      <c r="AJ47" s="3821"/>
      <c r="AK47" s="3821"/>
      <c r="AL47" s="3821"/>
      <c r="AM47" s="3821"/>
      <c r="AN47" s="3821"/>
      <c r="AO47" s="3821"/>
      <c r="AP47" s="3821"/>
      <c r="AQ47" s="3821"/>
      <c r="AR47" s="3821"/>
      <c r="AS47" s="3821"/>
      <c r="AT47" s="3821"/>
      <c r="AU47" s="3821"/>
      <c r="AV47" s="3821"/>
      <c r="AW47" s="3821"/>
      <c r="AX47" s="3821"/>
      <c r="AY47" s="3821"/>
      <c r="AZ47" s="3821"/>
      <c r="BA47" s="3821"/>
      <c r="BB47" s="3822"/>
      <c r="BC47" s="3823" t="s">
        <v>413</v>
      </c>
      <c r="BF47" s="3479" t="str">
        <f>IF(T47="","",T47)</f>
        <v>Территория действия тарифа</v>
      </c>
      <c r="BI47" s="3432">
        <v>21</v>
      </c>
    </row>
    <row customHeight="1" ht="43.050000000000004">
      <c r="A48" s="3857" t="s">
        <v>261</v>
      </c>
      <c r="B48" s="3857" t="s">
        <v>262</v>
      </c>
      <c r="C48" s="3857" t="s">
        <v>263</v>
      </c>
      <c r="E48" s="3824"/>
      <c r="F48" s="3824"/>
      <c r="G48" s="3817">
        <v>1</v>
      </c>
      <c r="Q48" s="3890"/>
      <c r="R48" s="3826"/>
      <c r="S48" s="3818" t="str">
        <f>INDEX(PT_DIFFERENTIATION_NUM_CS,MATCH(C48,PT_DIFFERENTIATION_CS_ID,0))</f>
        <v>..</v>
      </c>
      <c r="T48" s="3828" t="s">
        <v>496</v>
      </c>
      <c r="U48" s="3819"/>
      <c r="V48" s="3821"/>
      <c r="W48" s="3821"/>
      <c r="X48" s="3821"/>
      <c r="Y48" s="3821"/>
      <c r="Z48" s="3821"/>
      <c r="AA48" s="3821"/>
      <c r="AB48" s="3821"/>
      <c r="AC48" s="3822"/>
      <c r="AD48" s="3820" t="str">
        <f>INDEX(PT_DIFFERENTIATION_CS,MATCH(C48,PT_DIFFERENTIATION_CS_ID,0))</f>
        <v/>
      </c>
      <c r="AE48" s="3821"/>
      <c r="AF48" s="3821"/>
      <c r="AG48" s="3821"/>
      <c r="AH48" s="3821"/>
      <c r="AI48" s="3821"/>
      <c r="AJ48" s="3821"/>
      <c r="AK48" s="3821"/>
      <c r="AL48" s="3821"/>
      <c r="AM48" s="3821"/>
      <c r="AN48" s="3821"/>
      <c r="AO48" s="3821"/>
      <c r="AP48" s="3821"/>
      <c r="AQ48" s="3821"/>
      <c r="AR48" s="3821"/>
      <c r="AS48" s="3821"/>
      <c r="AT48" s="3821"/>
      <c r="AU48" s="3821"/>
      <c r="AV48" s="3821"/>
      <c r="AW48" s="3821"/>
      <c r="AX48" s="3821"/>
      <c r="AY48" s="3821"/>
      <c r="AZ48" s="3821"/>
      <c r="BA48" s="3821"/>
      <c r="BB48" s="3822"/>
      <c r="BC48" s="3823" t="s">
        <v>497</v>
      </c>
      <c r="BF48" s="3479" t="str">
        <f>IF(T48="","",T48)</f>
        <v>Наименование централизованной системы холодного водоснабжения</v>
      </c>
      <c r="BI48" s="3432">
        <v>41</v>
      </c>
    </row>
    <row customHeight="1" ht="0">
      <c r="A49" s="3470" t="s">
        <v>261</v>
      </c>
      <c r="B49" s="3470" t="s">
        <v>262</v>
      </c>
      <c r="C49" s="3470" t="s">
        <v>263</v>
      </c>
      <c r="D49" s="3470" t="s">
        <v>530</v>
      </c>
      <c r="E49" s="3824"/>
      <c r="F49" s="3824"/>
      <c r="G49" s="3824"/>
      <c r="H49" s="3817">
        <v>1</v>
      </c>
      <c r="Q49" s="3942"/>
      <c r="R49" s="3836"/>
      <c r="S49" s="3582"/>
      <c r="T49" s="3943"/>
      <c r="U49" s="3861"/>
      <c r="V49" s="3863"/>
      <c r="W49" s="3863"/>
      <c r="X49" s="3863"/>
      <c r="Y49" s="3863"/>
      <c r="Z49" s="3863"/>
      <c r="AA49" s="3863"/>
      <c r="AB49" s="3863"/>
      <c r="AC49" s="3864"/>
      <c r="AD49" s="3862"/>
      <c r="AE49" s="3863"/>
      <c r="AF49" s="3863"/>
      <c r="AG49" s="3863"/>
      <c r="AH49" s="3863"/>
      <c r="AI49" s="3863"/>
      <c r="AJ49" s="3863"/>
      <c r="AK49" s="3863"/>
      <c r="AL49" s="3863"/>
      <c r="AM49" s="3863"/>
      <c r="AN49" s="3863"/>
      <c r="AO49" s="3863"/>
      <c r="AP49" s="3863"/>
      <c r="AQ49" s="3863"/>
      <c r="AR49" s="3863"/>
      <c r="AS49" s="3863"/>
      <c r="AT49" s="3863"/>
      <c r="AU49" s="3863"/>
      <c r="AV49" s="3863"/>
      <c r="AW49" s="3863"/>
      <c r="AX49" s="3863"/>
      <c r="AY49" s="3863"/>
      <c r="AZ49" s="3863"/>
      <c r="BA49" s="3863"/>
      <c r="BB49" s="3864"/>
      <c r="BC49" s="3865" t="s">
        <v>417</v>
      </c>
      <c r="BF49" s="3479" t="str">
        <f>IF(T49="","",T49)</f>
        <v/>
      </c>
      <c r="BI49" s="3473">
        <v>0</v>
      </c>
    </row>
    <row customHeight="1" ht="0">
      <c r="A50" s="3470" t="s">
        <v>261</v>
      </c>
      <c r="B50" s="3470" t="s">
        <v>262</v>
      </c>
      <c r="C50" s="3470" t="s">
        <v>263</v>
      </c>
      <c r="D50" s="3470" t="s">
        <v>530</v>
      </c>
      <c r="E50" s="3824"/>
      <c r="F50" s="3824"/>
      <c r="G50" s="3824"/>
      <c r="H50" s="3824"/>
      <c r="I50" s="3711" t="str">
        <f>S49&amp;".1"</f>
        <v>.1</v>
      </c>
      <c r="L50" s="3866" t="s">
        <v>418</v>
      </c>
      <c r="P50" s="3471">
        <v>1</v>
      </c>
      <c r="R50" s="3831"/>
      <c r="S50" s="3582"/>
      <c r="T50" s="3860"/>
      <c r="U50" s="3861"/>
      <c r="V50" s="3863"/>
      <c r="W50" s="3863"/>
      <c r="X50" s="3863"/>
      <c r="Y50" s="3863"/>
      <c r="Z50" s="3863"/>
      <c r="AA50" s="3863"/>
      <c r="AB50" s="3863"/>
      <c r="AC50" s="3864"/>
      <c r="AD50" s="3862"/>
      <c r="AE50" s="3863"/>
      <c r="AF50" s="3863"/>
      <c r="AG50" s="3863"/>
      <c r="AH50" s="3863"/>
      <c r="AI50" s="3863"/>
      <c r="AJ50" s="3863"/>
      <c r="AK50" s="3863"/>
      <c r="AL50" s="3863"/>
      <c r="AM50" s="3863"/>
      <c r="AN50" s="3863"/>
      <c r="AO50" s="3863"/>
      <c r="AP50" s="3863"/>
      <c r="AQ50" s="3863"/>
      <c r="AR50" s="3863"/>
      <c r="AS50" s="3863"/>
      <c r="AT50" s="3863"/>
      <c r="AU50" s="3863"/>
      <c r="AV50" s="3863"/>
      <c r="AW50" s="3863"/>
      <c r="AX50" s="3863"/>
      <c r="AY50" s="3863"/>
      <c r="AZ50" s="3863"/>
      <c r="BA50" s="3863"/>
      <c r="BB50" s="3864"/>
      <c r="BC50" s="3865"/>
      <c r="BF50" s="3479" t="str">
        <f>IF(T50="","",T50)</f>
        <v/>
      </c>
      <c r="BI50" s="3473">
        <v>0</v>
      </c>
    </row>
    <row customHeight="1" ht="0">
      <c r="A51" s="3470" t="s">
        <v>261</v>
      </c>
      <c r="B51" s="3470" t="s">
        <v>262</v>
      </c>
      <c r="C51" s="3470" t="s">
        <v>263</v>
      </c>
      <c r="D51" s="3470" t="s">
        <v>530</v>
      </c>
      <c r="E51" s="3824"/>
      <c r="F51" s="3824"/>
      <c r="G51" s="3824"/>
      <c r="H51" s="3824"/>
      <c r="I51" s="3835"/>
      <c r="J51" s="3711" t="str">
        <f>S49&amp;".1"</f>
        <v>.1</v>
      </c>
      <c r="Q51" s="3471">
        <v>1</v>
      </c>
      <c r="R51" s="3836"/>
      <c r="S51" s="3582"/>
      <c r="T51" s="3891"/>
      <c r="U51" s="3861"/>
      <c r="V51" s="3863"/>
      <c r="W51" s="3863"/>
      <c r="X51" s="3863"/>
      <c r="Y51" s="3863"/>
      <c r="Z51" s="3863"/>
      <c r="AA51" s="3863"/>
      <c r="AB51" s="3863"/>
      <c r="AC51" s="3864"/>
      <c r="AD51" s="3862"/>
      <c r="AE51" s="3863"/>
      <c r="AF51" s="3863"/>
      <c r="AG51" s="3863"/>
      <c r="AH51" s="3863"/>
      <c r="AI51" s="3863"/>
      <c r="AJ51" s="3863"/>
      <c r="AK51" s="3863"/>
      <c r="AL51" s="3863"/>
      <c r="AM51" s="3863"/>
      <c r="AN51" s="3944"/>
      <c r="AO51" s="3944"/>
      <c r="AP51" s="3863"/>
      <c r="AQ51" s="3863"/>
      <c r="AR51" s="3863"/>
      <c r="AS51" s="3863"/>
      <c r="AT51" s="3863"/>
      <c r="AU51" s="3863"/>
      <c r="AV51" s="3863"/>
      <c r="AW51" s="3863"/>
      <c r="AX51" s="3863"/>
      <c r="AY51" s="3863"/>
      <c r="AZ51" s="3863"/>
      <c r="BA51" s="3863"/>
      <c r="BB51" s="3864"/>
      <c r="BC51" s="3865"/>
      <c r="BF51" s="3479" t="str">
        <f>IF(T51="","",T51)</f>
        <v/>
      </c>
      <c r="BI51" s="3473">
        <v>0</v>
      </c>
    </row>
    <row customHeight="1" ht="11.549999999999999">
      <c r="A52" s="3857" t="s">
        <v>261</v>
      </c>
      <c r="B52" s="3857" t="s">
        <v>262</v>
      </c>
      <c r="C52" s="3857" t="s">
        <v>263</v>
      </c>
      <c r="D52" s="3857" t="s">
        <v>530</v>
      </c>
      <c r="E52" s="3824"/>
      <c r="F52" s="3824"/>
      <c r="G52" s="3824"/>
      <c r="H52" s="3824"/>
      <c r="I52" s="3835"/>
      <c r="J52" s="3835"/>
      <c r="K52" s="3711" t="str">
        <f>S48&amp;".1"</f>
        <v>...1</v>
      </c>
      <c r="R52" s="3836">
        <v>1</v>
      </c>
      <c r="S52" s="3867" t="str">
        <f>$K52</f>
        <v>...1</v>
      </c>
      <c r="T52" s="986"/>
      <c r="U52" s="3819"/>
      <c r="V52" s="838"/>
      <c r="W52" s="840"/>
      <c r="X52" s="838"/>
      <c r="Y52" s="840"/>
      <c r="Z52" s="572"/>
      <c r="AA52" s="210" t="s">
        <v>61</v>
      </c>
      <c r="AB52" s="572"/>
      <c r="AC52" s="210" t="s">
        <v>61</v>
      </c>
      <c r="AD52" s="289" t="s">
        <v>61</v>
      </c>
      <c r="AE52" s="3893"/>
      <c r="AF52" s="314">
        <v>1</v>
      </c>
      <c r="AG52" s="987"/>
      <c r="AH52" s="210" t="s">
        <v>61</v>
      </c>
      <c r="AI52" s="3893"/>
      <c r="AJ52" s="314">
        <v>1</v>
      </c>
      <c r="AK52" s="97" t="s">
        <v>22</v>
      </c>
      <c r="AL52" s="210" t="s">
        <v>61</v>
      </c>
      <c r="AM52" s="3555"/>
      <c r="AN52" s="314">
        <v>1</v>
      </c>
      <c r="AO52" s="1039"/>
      <c r="AP52" s="1040" t="s">
        <v>61</v>
      </c>
      <c r="AQ52" s="3894"/>
      <c r="AR52" s="314">
        <v>1</v>
      </c>
      <c r="AS52" s="107" t="s">
        <v>22</v>
      </c>
      <c r="AT52" s="838"/>
      <c r="AU52" s="840"/>
      <c r="AV52" s="838"/>
      <c r="AW52" s="840"/>
      <c r="AX52" s="572"/>
      <c r="AY52" s="210" t="s">
        <v>61</v>
      </c>
      <c r="AZ52" s="572"/>
      <c r="BA52" s="210" t="s">
        <v>61</v>
      </c>
      <c r="BB52" s="882"/>
      <c r="BC52" s="3839" t="s">
        <v>516</v>
      </c>
      <c r="BF52" s="3479" t="str">
        <f>IF(T52="","",T52)</f>
        <v/>
      </c>
      <c r="BI52" s="3432">
        <v>11</v>
      </c>
    </row>
    <row customHeight="1" ht="11.549999999999999">
      <c r="E53" s="3824"/>
      <c r="F53" s="3824"/>
      <c r="G53" s="3824"/>
      <c r="H53" s="3824"/>
      <c r="I53" s="3835"/>
      <c r="J53" s="3835"/>
      <c r="K53" s="3711"/>
      <c r="R53" s="3836"/>
      <c r="S53" s="3895"/>
      <c r="T53" s="1041"/>
      <c r="U53" s="3819"/>
      <c r="V53" s="925"/>
      <c r="W53" s="943"/>
      <c r="X53" s="925"/>
      <c r="Y53" s="943"/>
      <c r="Z53" s="925"/>
      <c r="AA53" s="925"/>
      <c r="AB53" s="925"/>
      <c r="AC53" s="925"/>
      <c r="AD53" s="295"/>
      <c r="AE53" s="3893"/>
      <c r="AF53" s="314"/>
      <c r="AG53" s="987"/>
      <c r="AH53" s="210"/>
      <c r="AI53" s="3893"/>
      <c r="AJ53" s="314"/>
      <c r="AK53" s="97"/>
      <c r="AL53" s="210"/>
      <c r="AM53" s="3561"/>
      <c r="AN53" s="314"/>
      <c r="AO53" s="1039"/>
      <c r="AP53" s="1042"/>
      <c r="AQ53" s="697"/>
      <c r="AR53" s="172"/>
      <c r="AS53" s="172" t="s">
        <v>517</v>
      </c>
      <c r="AT53" s="925"/>
      <c r="AU53" s="943"/>
      <c r="AV53" s="925"/>
      <c r="AW53" s="943"/>
      <c r="AX53" s="925"/>
      <c r="AY53" s="925"/>
      <c r="AZ53" s="925"/>
      <c r="BA53" s="925"/>
      <c r="BB53" s="942"/>
      <c r="BC53" s="3840"/>
      <c r="BI53" s="3432">
        <v>11</v>
      </c>
    </row>
    <row customHeight="1" ht="11.549999999999999">
      <c r="A54" s="3857" t="s">
        <v>261</v>
      </c>
      <c r="E54" s="3824"/>
      <c r="F54" s="3824"/>
      <c r="G54" s="3824"/>
      <c r="H54" s="3824"/>
      <c r="I54" s="3835"/>
      <c r="J54" s="3835"/>
      <c r="K54" s="3711"/>
      <c r="R54" s="3836"/>
      <c r="S54" s="3895"/>
      <c r="T54" s="1041"/>
      <c r="U54" s="3819"/>
      <c r="V54" s="925"/>
      <c r="W54" s="943"/>
      <c r="X54" s="925"/>
      <c r="Y54" s="943"/>
      <c r="Z54" s="925"/>
      <c r="AA54" s="925"/>
      <c r="AB54" s="925"/>
      <c r="AC54" s="925"/>
      <c r="AD54" s="295"/>
      <c r="AE54" s="3893"/>
      <c r="AF54" s="314"/>
      <c r="AG54" s="987"/>
      <c r="AH54" s="210"/>
      <c r="AI54" s="3893"/>
      <c r="AJ54" s="314"/>
      <c r="AK54" s="97"/>
      <c r="AL54" s="210"/>
      <c r="AM54" s="697"/>
      <c r="AN54" s="791"/>
      <c r="AO54" s="791" t="s">
        <v>518</v>
      </c>
      <c r="AP54" s="172"/>
      <c r="AQ54" s="172"/>
      <c r="AR54" s="172"/>
      <c r="AS54" s="925"/>
      <c r="AT54" s="925"/>
      <c r="AU54" s="943"/>
      <c r="AV54" s="925"/>
      <c r="AW54" s="943"/>
      <c r="AX54" s="925"/>
      <c r="AY54" s="925"/>
      <c r="AZ54" s="925"/>
      <c r="BA54" s="925"/>
      <c r="BB54" s="942"/>
      <c r="BC54" s="3840"/>
      <c r="BI54" s="3432">
        <v>11</v>
      </c>
    </row>
    <row customHeight="1" ht="11.549999999999999">
      <c r="A55" s="3857" t="s">
        <v>261</v>
      </c>
      <c r="E55" s="3824"/>
      <c r="F55" s="3824"/>
      <c r="G55" s="3824"/>
      <c r="H55" s="3824"/>
      <c r="I55" s="3835"/>
      <c r="J55" s="3835"/>
      <c r="K55" s="3711"/>
      <c r="R55" s="3836"/>
      <c r="S55" s="3895"/>
      <c r="T55" s="1041"/>
      <c r="U55" s="3819"/>
      <c r="V55" s="925"/>
      <c r="W55" s="943"/>
      <c r="X55" s="925"/>
      <c r="Y55" s="943"/>
      <c r="Z55" s="925"/>
      <c r="AA55" s="925"/>
      <c r="AB55" s="925"/>
      <c r="AC55" s="925"/>
      <c r="AD55" s="295"/>
      <c r="AE55" s="3893"/>
      <c r="AF55" s="314"/>
      <c r="AG55" s="987"/>
      <c r="AH55" s="210"/>
      <c r="AI55" s="945"/>
      <c r="AJ55" s="167"/>
      <c r="AK55" s="406" t="s">
        <v>519</v>
      </c>
      <c r="AL55" s="925"/>
      <c r="AM55" s="925"/>
      <c r="AN55" s="925"/>
      <c r="AO55" s="925"/>
      <c r="AP55" s="925"/>
      <c r="AQ55" s="925"/>
      <c r="AR55" s="925"/>
      <c r="AS55" s="925"/>
      <c r="AT55" s="925"/>
      <c r="AU55" s="943"/>
      <c r="AV55" s="925"/>
      <c r="AW55" s="943"/>
      <c r="AX55" s="925"/>
      <c r="AY55" s="925"/>
      <c r="AZ55" s="925"/>
      <c r="BA55" s="925"/>
      <c r="BB55" s="942"/>
      <c r="BC55" s="3840"/>
      <c r="BI55" s="3432">
        <v>11</v>
      </c>
    </row>
    <row customHeight="1" ht="11.549999999999999">
      <c r="A56" s="3857" t="s">
        <v>261</v>
      </c>
      <c r="B56" s="3857" t="s">
        <v>262</v>
      </c>
      <c r="C56" s="3857" t="s">
        <v>263</v>
      </c>
      <c r="D56" s="3857" t="s">
        <v>530</v>
      </c>
      <c r="E56" s="3824"/>
      <c r="F56" s="3824"/>
      <c r="G56" s="3824"/>
      <c r="H56" s="3824"/>
      <c r="I56" s="3835"/>
      <c r="J56" s="3835"/>
      <c r="K56" s="3711"/>
      <c r="R56" s="3836"/>
      <c r="S56" s="3876"/>
      <c r="T56" s="1043"/>
      <c r="U56" s="3819"/>
      <c r="V56" s="925"/>
      <c r="W56" s="926" t="str">
        <f>Z52&amp;"-"&amp;AB52</f>
        <v>-</v>
      </c>
      <c r="X56" s="925"/>
      <c r="Y56" s="926" t="str">
        <f>AB52&amp;"-"&amp;AD52</f>
        <v>-да</v>
      </c>
      <c r="Z56" s="925"/>
      <c r="AA56" s="925"/>
      <c r="AB56" s="925"/>
      <c r="AC56" s="925"/>
      <c r="AD56" s="206"/>
      <c r="AE56" s="948"/>
      <c r="AF56" s="949"/>
      <c r="AG56" s="172" t="s">
        <v>520</v>
      </c>
      <c r="AH56" s="925"/>
      <c r="AI56" s="925"/>
      <c r="AJ56" s="925"/>
      <c r="AK56" s="925"/>
      <c r="AL56" s="925"/>
      <c r="AM56" s="925"/>
      <c r="AN56" s="925"/>
      <c r="AO56" s="925"/>
      <c r="AP56" s="925"/>
      <c r="AQ56" s="925"/>
      <c r="AR56" s="925"/>
      <c r="AS56" s="925"/>
      <c r="AT56" s="925"/>
      <c r="AU56" s="926" t="str">
        <f>AX52&amp;"-"&amp;AZ52</f>
        <v>-</v>
      </c>
      <c r="AV56" s="925"/>
      <c r="AW56" s="926" t="str">
        <f>AZ52&amp;"-"&amp;BB52</f>
        <v>-</v>
      </c>
      <c r="AX56" s="925"/>
      <c r="AY56" s="925"/>
      <c r="AZ56" s="925"/>
      <c r="BA56" s="925"/>
      <c r="BB56" s="947" t="str">
        <f>BE52&amp;"-"&amp;BG52</f>
        <v>-</v>
      </c>
      <c r="BC56" s="3840"/>
      <c r="BF56" s="3479" t="str">
        <f>IF(T56="","",T56)</f>
        <v/>
      </c>
      <c r="BI56" s="3432">
        <v>11</v>
      </c>
    </row>
    <row customHeight="1" ht="11.549999999999999">
      <c r="A57" s="3857" t="s">
        <v>261</v>
      </c>
      <c r="B57" s="3857" t="s">
        <v>262</v>
      </c>
      <c r="C57" s="3857" t="s">
        <v>263</v>
      </c>
      <c r="D57" s="3857" t="s">
        <v>530</v>
      </c>
      <c r="E57" s="3824"/>
      <c r="F57" s="3824"/>
      <c r="G57" s="3824"/>
      <c r="H57" s="3824"/>
      <c r="I57" s="3835"/>
      <c r="J57" s="3711"/>
      <c r="R57" s="3831"/>
      <c r="S57" s="844"/>
      <c r="T57" s="848" t="s">
        <v>483</v>
      </c>
      <c r="U57" s="200"/>
      <c r="V57" s="200"/>
      <c r="W57" s="200"/>
      <c r="X57" s="200"/>
      <c r="Y57" s="200"/>
      <c r="Z57" s="200"/>
      <c r="AA57" s="200"/>
      <c r="AB57" s="200"/>
      <c r="AC57" s="846"/>
      <c r="AD57" s="971"/>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846"/>
      <c r="BC57" s="3841"/>
      <c r="BF57" s="3479" t="str">
        <f>IF(T57="","",T57)</f>
        <v>Добавить строку</v>
      </c>
      <c r="BI57" s="3432">
        <v>11</v>
      </c>
    </row>
    <row customHeight="1" ht="0">
      <c r="A58" s="3470" t="s">
        <v>261</v>
      </c>
      <c r="B58" s="3470" t="s">
        <v>262</v>
      </c>
      <c r="C58" s="3470" t="s">
        <v>263</v>
      </c>
      <c r="D58" s="3470" t="s">
        <v>530</v>
      </c>
      <c r="E58" s="3824"/>
      <c r="F58" s="3824"/>
      <c r="G58" s="3824"/>
      <c r="H58" s="3824"/>
      <c r="I58" s="3711"/>
      <c r="R58" s="3831"/>
      <c r="S58" s="894"/>
      <c r="T58" s="895"/>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7"/>
      <c r="BF58" s="3479" t="str">
        <f>IF(T58="","",T58)</f>
        <v/>
      </c>
      <c r="BI58" s="3473">
        <v>0</v>
      </c>
    </row>
    <row customHeight="1" ht="0">
      <c r="A59" s="3470" t="s">
        <v>261</v>
      </c>
      <c r="B59" s="3470" t="s">
        <v>262</v>
      </c>
      <c r="C59" s="3470" t="s">
        <v>263</v>
      </c>
      <c r="D59" s="3470" t="s">
        <v>530</v>
      </c>
      <c r="E59" s="3824"/>
      <c r="F59" s="3824"/>
      <c r="G59" s="3824"/>
      <c r="H59" s="3817"/>
      <c r="R59" s="950"/>
      <c r="S59" s="894"/>
      <c r="T59" s="895"/>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BB59" s="896"/>
      <c r="BC59" s="897"/>
      <c r="BF59" s="3479" t="str">
        <f>IF(T59="","",T59)</f>
        <v/>
      </c>
      <c r="BI59" s="3473">
        <v>0</v>
      </c>
    </row>
    <row customHeight="1" ht="0">
      <c r="A60" s="3470" t="s">
        <v>261</v>
      </c>
      <c r="B60" s="3470" t="s">
        <v>262</v>
      </c>
      <c r="C60" s="3470" t="s">
        <v>263</v>
      </c>
      <c r="E60" s="3824"/>
      <c r="F60" s="3824"/>
      <c r="G60" s="3817"/>
      <c r="BF60" s="3479" t="str">
        <f>IF(T60="","",T60)</f>
        <v/>
      </c>
      <c r="BI60" s="3473">
        <v>0</v>
      </c>
    </row>
    <row customHeight="1" ht="0">
      <c r="A61" s="3470" t="s">
        <v>261</v>
      </c>
      <c r="B61" s="3470" t="s">
        <v>262</v>
      </c>
      <c r="E61" s="3824"/>
      <c r="F61" s="3817"/>
      <c r="T61" s="856" t="s">
        <v>430</v>
      </c>
      <c r="BF61" s="3479" t="str">
        <f>IF(T61="","",T61)</f>
        <v>Добавить централизованную систему для дифференциации</v>
      </c>
      <c r="BI61" s="3473">
        <v>0</v>
      </c>
    </row>
    <row customHeight="1" ht="0">
      <c r="A62" s="3470" t="s">
        <v>261</v>
      </c>
      <c r="E62" s="3817"/>
      <c r="T62" s="856" t="s">
        <v>431</v>
      </c>
      <c r="BF62" s="3479" t="str">
        <f>IF(T62="","",T62)</f>
        <v>Добавить территорию для дифференциации</v>
      </c>
      <c r="BI62" s="3473">
        <v>0</v>
      </c>
    </row>
    <row customHeight="1" ht="0">
      <c r="T63" s="856" t="s">
        <v>463</v>
      </c>
      <c r="BF63" s="3479" t="str">
        <f>IF(T63="","",T63)</f>
        <v>Добавить наименование тарифа</v>
      </c>
      <c r="BI63" s="3473">
        <v>0</v>
      </c>
    </row>
    <row customHeight="1" ht="11.549999999999999">
      <c r="BI64" s="3432">
        <v>11</v>
      </c>
    </row>
    <row customHeight="1" ht="19.95">
      <c r="BI65" s="3432">
        <v>19</v>
      </c>
    </row>
    <row customHeight="1" ht="14.699999999999998">
      <c r="BI66" s="3432">
        <v>14</v>
      </c>
    </row>
    <row customHeight="1" ht="19.95">
      <c r="BI67" s="3432">
        <v>19</v>
      </c>
    </row>
    <row customHeight="1" ht="14.699999999999998">
      <c r="BI68" s="3432">
        <v>14</v>
      </c>
    </row>
    <row customHeight="1" ht="14.25" hidden="1">
      <c r="A69" s="3449" t="s">
        <v>80</v>
      </c>
      <c r="B69" s="3449">
        <v>0</v>
      </c>
      <c r="C69" s="3449">
        <v>0</v>
      </c>
      <c r="D69" s="3449">
        <v>0</v>
      </c>
      <c r="E69" s="3449">
        <v>0</v>
      </c>
      <c r="F69" s="3449">
        <v>0</v>
      </c>
      <c r="G69" s="3449">
        <v>0</v>
      </c>
      <c r="H69" s="3449">
        <v>0</v>
      </c>
      <c r="I69" s="3449">
        <v>0</v>
      </c>
      <c r="J69" s="3449">
        <v>0</v>
      </c>
      <c r="K69" s="3449">
        <v>0</v>
      </c>
      <c r="L69" s="3618">
        <v>0</v>
      </c>
      <c r="M69" s="105">
        <v>0</v>
      </c>
      <c r="N69" s="105">
        <v>0</v>
      </c>
      <c r="O69" s="105">
        <v>0</v>
      </c>
      <c r="P69" s="105">
        <v>0</v>
      </c>
      <c r="Q69" s="3913">
        <v>0</v>
      </c>
      <c r="R69" s="3797">
        <v>3</v>
      </c>
      <c r="S69" s="3447">
        <v>12</v>
      </c>
      <c r="T69" s="3432">
        <v>31</v>
      </c>
      <c r="U69" s="3432">
        <v>0</v>
      </c>
      <c r="V69" s="3432">
        <v>0</v>
      </c>
      <c r="W69" s="3432">
        <v>0</v>
      </c>
      <c r="X69" s="3432">
        <v>0</v>
      </c>
      <c r="Y69" s="3432">
        <v>0</v>
      </c>
      <c r="Z69" s="3432">
        <v>0</v>
      </c>
      <c r="AA69" s="3432">
        <v>0</v>
      </c>
      <c r="AB69" s="3432">
        <v>0</v>
      </c>
      <c r="AC69" s="3432">
        <v>0</v>
      </c>
      <c r="AD69" s="3432">
        <v>3</v>
      </c>
      <c r="AE69" s="3432">
        <v>3</v>
      </c>
      <c r="AF69" s="3432">
        <v>3</v>
      </c>
      <c r="AG69" s="3432">
        <v>24</v>
      </c>
      <c r="AH69" s="3432">
        <v>3</v>
      </c>
      <c r="AI69" s="3432">
        <v>3</v>
      </c>
      <c r="AJ69" s="3432">
        <v>3</v>
      </c>
      <c r="AK69" s="3432">
        <v>24</v>
      </c>
      <c r="AL69" s="3432">
        <v>3</v>
      </c>
      <c r="AM69" s="3432">
        <v>3</v>
      </c>
      <c r="AN69" s="3432">
        <v>3</v>
      </c>
      <c r="AO69" s="3432">
        <v>18</v>
      </c>
      <c r="AP69" s="3432">
        <v>3</v>
      </c>
      <c r="AQ69" s="3432">
        <v>3</v>
      </c>
      <c r="AR69" s="3432">
        <v>3</v>
      </c>
      <c r="AS69" s="3432">
        <v>18</v>
      </c>
      <c r="AT69" s="3432">
        <v>21</v>
      </c>
      <c r="AU69" s="3432">
        <v>21</v>
      </c>
      <c r="AV69" s="3432">
        <v>21</v>
      </c>
      <c r="AW69" s="3432">
        <v>21</v>
      </c>
      <c r="AX69" s="3432">
        <v>11</v>
      </c>
      <c r="AY69" s="3432">
        <v>3</v>
      </c>
      <c r="AZ69" s="3432">
        <v>11</v>
      </c>
      <c r="BA69" s="3432">
        <v>0</v>
      </c>
      <c r="BB69" s="3432">
        <v>4</v>
      </c>
      <c r="BC69" s="3432">
        <v>115</v>
      </c>
      <c r="BD69" s="3473">
        <v>10</v>
      </c>
      <c r="BE69" s="3473">
        <v>10</v>
      </c>
      <c r="BF69" s="3473">
        <v>10</v>
      </c>
      <c r="BG69" s="3473">
        <v>10</v>
      </c>
      <c r="BH69" s="3473">
        <v>10</v>
      </c>
      <c r="BI69" s="343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8DC02-D1F9-FA8D-484F-3521C6B14C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4.140625" hidden="1" customWidth="1"/>
    <col min="10" max="10" style="7348" width="9.8515625" hidden="1" customWidth="1"/>
    <col min="11" max="11" style="7348" width="14.71093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4" style="7348" width="24.7109375" hidden="1" customWidth="1"/>
    <col min="25" max="25" style="7348" width="11.7109375" hidden="1" customWidth="1"/>
    <col min="26" max="26" style="7348" width="3.7109375" hidden="1" customWidth="1"/>
    <col min="27" max="27" style="7348" width="11.7109375" hidden="1" customWidth="1"/>
    <col min="28" max="28" style="7348" width="8.57421875" hidden="1" customWidth="1"/>
    <col min="29" max="29" style="7348" width="24.7109375" customWidth="1"/>
    <col min="30" max="31" style="7348" width="24.00390625" customWidth="1"/>
    <col min="32" max="32" style="7348" width="11.00390625" customWidth="1"/>
    <col min="33" max="33" style="7348" width="3.7109375" customWidth="1"/>
    <col min="34" max="34" style="7348" width="11.00390625" customWidth="1"/>
    <col min="35" max="35" style="7348" width="8.57421875" hidden="1" customWidth="1"/>
    <col min="36" max="36" style="7348" width="4.00390625" customWidth="1"/>
    <col min="37" max="37" style="7348" width="115.00390625" customWidth="1"/>
    <col min="38" max="42" style="7348" width="10.00390625" customWidth="1"/>
    <col min="43" max="43" style="7348" width="10.57421875" hidden="1"/>
  </cols>
  <sheetData>
    <row customHeight="1" ht="22.5" hidden="1">
      <c r="AQ1" s="3432" t="s">
        <v>14</v>
      </c>
    </row>
    <row customHeight="1" ht="23.25" hidden="1">
      <c r="E2" s="3817">
        <v>1</v>
      </c>
      <c r="R2" s="816"/>
      <c r="S2" s="3818">
        <f>INDEX(PT_DIFFERENTIATION_NUM_NTAR,MATCH(A2,PT_DIFFERENTIATION_NTAR_ID,0))</f>
      </c>
      <c r="T2" s="3764" t="s">
        <v>141</v>
      </c>
      <c r="U2" s="3819"/>
      <c r="V2" s="3820"/>
      <c r="W2" s="3821"/>
      <c r="X2" s="3821"/>
      <c r="Y2" s="3821"/>
      <c r="Z2" s="3821"/>
      <c r="AA2" s="3821"/>
      <c r="AB2" s="3822"/>
      <c r="AC2" s="3820">
        <f>INDEX(PT_DIFFERENTIATION_NTAR,MATCH(A2,PT_DIFFERENTIATION_NTAR_ID,0))</f>
      </c>
      <c r="AD2" s="3821"/>
      <c r="AE2" s="3821"/>
      <c r="AF2" s="3821"/>
      <c r="AG2" s="3821"/>
      <c r="AH2" s="3821"/>
      <c r="AI2" s="3821"/>
      <c r="AJ2" s="3822"/>
      <c r="AK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3479" t="str">
        <f>IF(T2="","",T2)</f>
        <v>Наименование тарифа</v>
      </c>
      <c r="AQ2" s="3432">
        <v>0</v>
      </c>
    </row>
    <row customHeight="1" ht="23.25" hidden="1">
      <c r="E3" s="3824"/>
      <c r="F3" s="3817">
        <v>1</v>
      </c>
      <c r="Q3" s="3825"/>
      <c r="R3" s="3826"/>
      <c r="S3" s="3818">
        <f>INDEX(PT_DIFFERENTIATION_NUM_TER,MATCH(B3,PT_DIFFERENTIATION_TER_ID,0))</f>
      </c>
      <c r="T3" s="3827" t="s">
        <v>412</v>
      </c>
      <c r="U3" s="3819"/>
      <c r="V3" s="3820"/>
      <c r="W3" s="3821"/>
      <c r="X3" s="3821"/>
      <c r="Y3" s="3821"/>
      <c r="Z3" s="3821"/>
      <c r="AA3" s="3821"/>
      <c r="AB3" s="3822"/>
      <c r="AC3" s="3820">
        <f>INDEX(PT_DIFFERENTIATION_TER,MATCH(B3,PT_DIFFERENTIATION_TER_ID,0))</f>
      </c>
      <c r="AD3" s="3821"/>
      <c r="AE3" s="3821"/>
      <c r="AF3" s="3821"/>
      <c r="AG3" s="3821"/>
      <c r="AH3" s="3821"/>
      <c r="AI3" s="3821"/>
      <c r="AJ3" s="3822"/>
      <c r="AK3" s="3823" t="s">
        <v>413</v>
      </c>
      <c r="AN3" s="3479" t="str">
        <f>IF(T3="","",T3)</f>
        <v>Территория действия тарифа</v>
      </c>
      <c r="AQ3" s="3432">
        <v>0</v>
      </c>
    </row>
    <row customHeight="1" ht="23.25" hidden="1">
      <c r="E4" s="3824"/>
      <c r="F4" s="3824"/>
      <c r="G4" s="3817">
        <v>1</v>
      </c>
      <c r="Q4" s="3825"/>
      <c r="R4" s="3826"/>
      <c r="S4" s="3818">
        <f>INDEX(PT_DIFFERENTIATION_NUM_CS,MATCH(C4,PT_DIFFERENTIATION_CS_ID,0))</f>
      </c>
      <c r="T4" s="3828" t="s">
        <v>531</v>
      </c>
      <c r="U4" s="3819"/>
      <c r="V4" s="3820"/>
      <c r="W4" s="3821"/>
      <c r="X4" s="3821"/>
      <c r="Y4" s="3821"/>
      <c r="Z4" s="3821"/>
      <c r="AA4" s="3821"/>
      <c r="AB4" s="3822"/>
      <c r="AC4" s="3820">
        <f>INDEX(PT_DIFFERENTIATION_CS,MATCH(C4,PT_DIFFERENTIATION_CS_ID,0))</f>
      </c>
      <c r="AD4" s="3821"/>
      <c r="AE4" s="3821"/>
      <c r="AF4" s="3821"/>
      <c r="AG4" s="3821"/>
      <c r="AH4" s="3821"/>
      <c r="AI4" s="3821"/>
      <c r="AJ4" s="3822"/>
      <c r="AK4" s="3823" t="s">
        <v>532</v>
      </c>
      <c r="AN4" s="3479" t="str">
        <f>IF(T4="","",T4)</f>
        <v>Наименование централизованной системы водоотведения</v>
      </c>
      <c r="AQ4" s="3432">
        <v>0</v>
      </c>
    </row>
    <row customHeight="1" ht="23.25" hidden="1">
      <c r="E5" s="3824"/>
      <c r="F5" s="3824"/>
      <c r="G5" s="3824"/>
      <c r="H5" s="3824"/>
      <c r="I5" s="3711">
        <f>S4&amp;".1"</f>
      </c>
      <c r="P5" s="3471">
        <v>1</v>
      </c>
      <c r="R5" s="3831"/>
      <c r="S5" s="3818">
        <f>$I5</f>
      </c>
      <c r="T5" s="3832" t="s">
        <v>498</v>
      </c>
      <c r="U5" s="3819"/>
      <c r="V5" s="3938"/>
      <c r="W5" s="3939"/>
      <c r="X5" s="3939"/>
      <c r="Y5" s="3939"/>
      <c r="Z5" s="3939"/>
      <c r="AA5" s="3939"/>
      <c r="AB5" s="3940"/>
      <c r="AC5" s="1018"/>
      <c r="AD5" s="1031"/>
      <c r="AE5" s="1031"/>
      <c r="AF5" s="1031"/>
      <c r="AG5" s="1031"/>
      <c r="AH5" s="1031"/>
      <c r="AI5" s="1031"/>
      <c r="AJ5" s="1032"/>
      <c r="AK5" s="3823" t="s">
        <v>499</v>
      </c>
      <c r="AN5" s="3479" t="str">
        <f>IF(T5="","",T5)</f>
        <v>Наименование признака дифференциации</v>
      </c>
      <c r="AQ5" s="3432">
        <v>0</v>
      </c>
    </row>
    <row customHeight="1" ht="23.25" hidden="1">
      <c r="E6" s="3824"/>
      <c r="F6" s="3824"/>
      <c r="G6" s="3824"/>
      <c r="H6" s="3824"/>
      <c r="I6" s="3835"/>
      <c r="J6" s="3711">
        <f>I5&amp;".1"</f>
      </c>
      <c r="L6" s="3830" t="s">
        <v>421</v>
      </c>
      <c r="Q6" s="3471">
        <v>1</v>
      </c>
      <c r="R6" s="3836"/>
      <c r="S6" s="3818">
        <f>$J6</f>
      </c>
      <c r="T6" s="3837" t="s">
        <v>422</v>
      </c>
      <c r="U6" s="3819"/>
      <c r="V6" s="3638"/>
      <c r="W6" s="3833"/>
      <c r="X6" s="3833"/>
      <c r="Y6" s="3833"/>
      <c r="Z6" s="3833"/>
      <c r="AA6" s="3833"/>
      <c r="AB6" s="3834"/>
      <c r="AC6" s="3638"/>
      <c r="AD6" s="3833"/>
      <c r="AE6" s="3833"/>
      <c r="AF6" s="3833"/>
      <c r="AG6" s="3833"/>
      <c r="AH6" s="3833"/>
      <c r="AI6" s="3833"/>
      <c r="AJ6" s="3834"/>
      <c r="AK6" s="3883" t="s">
        <v>500</v>
      </c>
      <c r="AN6" s="3479" t="str">
        <f>IF(T6="","",T6)</f>
        <v>Группа потребителей</v>
      </c>
      <c r="AQ6" s="3432">
        <v>0</v>
      </c>
    </row>
    <row customHeight="1" ht="23.25" hidden="1">
      <c r="E7" s="3824"/>
      <c r="F7" s="3824"/>
      <c r="G7" s="3824"/>
      <c r="H7" s="3824"/>
      <c r="I7" s="3835"/>
      <c r="J7" s="3835"/>
      <c r="K7" s="3711">
        <f>J6&amp;".1"</f>
      </c>
      <c r="R7" s="3836">
        <v>1</v>
      </c>
      <c r="S7" s="3818">
        <f>$K7</f>
      </c>
      <c r="T7" s="1033"/>
      <c r="U7" s="3819"/>
      <c r="V7" s="838"/>
      <c r="W7" s="838"/>
      <c r="X7" s="840"/>
      <c r="Y7" s="572"/>
      <c r="Z7" s="210" t="s">
        <v>61</v>
      </c>
      <c r="AA7" s="572"/>
      <c r="AB7" s="210" t="s">
        <v>61</v>
      </c>
      <c r="AC7" s="838"/>
      <c r="AD7" s="838"/>
      <c r="AE7" s="840"/>
      <c r="AF7" s="572"/>
      <c r="AG7" s="210" t="s">
        <v>61</v>
      </c>
      <c r="AH7" s="881"/>
      <c r="AI7" s="210" t="s">
        <v>61</v>
      </c>
      <c r="AJ7" s="1034"/>
      <c r="AK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473">
        <f>STRCHECKDATE(V8:AJ8)</f>
      </c>
      <c r="AN7" s="3479" t="str">
        <f>IF(T7="","",T7)</f>
        <v/>
      </c>
      <c r="AQ7" s="3432">
        <v>0</v>
      </c>
    </row>
    <row customHeight="1" ht="14.25" hidden="1">
      <c r="E8" s="3824"/>
      <c r="F8" s="3824"/>
      <c r="G8" s="3824"/>
      <c r="H8" s="3824"/>
      <c r="I8" s="3835"/>
      <c r="J8" s="3835"/>
      <c r="K8" s="3711"/>
      <c r="R8" s="3836"/>
      <c r="S8" s="421"/>
      <c r="T8" s="3819"/>
      <c r="U8" s="3819"/>
      <c r="V8" s="839"/>
      <c r="W8" s="839"/>
      <c r="X8" s="842" t="str">
        <f>Y7&amp;"-"&amp;AA7</f>
        <v>-</v>
      </c>
      <c r="Y8" s="573"/>
      <c r="Z8" s="210"/>
      <c r="AA8" s="573"/>
      <c r="AB8" s="210"/>
      <c r="AC8" s="839"/>
      <c r="AD8" s="839"/>
      <c r="AE8" s="842" t="str">
        <f>AF7&amp;"-"&amp;AH7</f>
        <v>-</v>
      </c>
      <c r="AF8" s="573"/>
      <c r="AG8" s="210"/>
      <c r="AH8" s="883"/>
      <c r="AI8" s="210"/>
      <c r="AJ8" s="1015"/>
      <c r="AK8" s="3941"/>
      <c r="AN8" s="3479" t="str">
        <f>IF(T8="","",T8)</f>
        <v/>
      </c>
      <c r="AQ8" s="3432">
        <v>0</v>
      </c>
    </row>
    <row customHeight="1" ht="21" hidden="1">
      <c r="E9" s="3824"/>
      <c r="F9" s="3824"/>
      <c r="G9" s="3824"/>
      <c r="H9" s="3824"/>
      <c r="I9" s="3835"/>
      <c r="J9" s="3711"/>
      <c r="R9" s="3831"/>
      <c r="S9" s="844"/>
      <c r="T9" s="848" t="s">
        <v>501</v>
      </c>
      <c r="U9" s="200"/>
      <c r="V9" s="200"/>
      <c r="W9" s="200"/>
      <c r="X9" s="200"/>
      <c r="Y9" s="200"/>
      <c r="Z9" s="200"/>
      <c r="AA9" s="200"/>
      <c r="AB9" s="200"/>
      <c r="AC9" s="200"/>
      <c r="AD9" s="200"/>
      <c r="AE9" s="200"/>
      <c r="AF9" s="200"/>
      <c r="AG9" s="200"/>
      <c r="AH9" s="200"/>
      <c r="AI9" s="200"/>
      <c r="AJ9" s="200"/>
      <c r="AK9" s="3823" t="s">
        <v>502</v>
      </c>
      <c r="AN9" s="3479" t="str">
        <f>IF(T9="","",T9)</f>
        <v>Добавить значение признака дифференциации</v>
      </c>
      <c r="AQ9" s="3432">
        <v>0</v>
      </c>
    </row>
    <row customHeight="1" ht="21" hidden="1">
      <c r="E10" s="3824"/>
      <c r="F10" s="3824"/>
      <c r="G10" s="3824"/>
      <c r="H10" s="3824"/>
      <c r="I10" s="3711"/>
      <c r="R10" s="3831"/>
      <c r="S10" s="844"/>
      <c r="T10" s="851" t="s">
        <v>427</v>
      </c>
      <c r="U10" s="200"/>
      <c r="V10" s="200"/>
      <c r="W10" s="200"/>
      <c r="X10" s="200"/>
      <c r="Y10" s="200"/>
      <c r="Z10" s="200"/>
      <c r="AA10" s="200"/>
      <c r="AB10" s="849"/>
      <c r="AC10" s="200"/>
      <c r="AD10" s="200"/>
      <c r="AE10" s="200"/>
      <c r="AF10" s="200"/>
      <c r="AG10" s="200"/>
      <c r="AH10" s="200"/>
      <c r="AI10" s="849"/>
      <c r="AJ10" s="200"/>
      <c r="AK10" s="1036"/>
      <c r="AN10" s="3479" t="str">
        <f>IF(T10="","",T10)</f>
        <v>Добавить группу потребителей</v>
      </c>
      <c r="AQ10" s="3432">
        <v>0</v>
      </c>
    </row>
    <row customHeight="1" ht="21" hidden="1">
      <c r="E11" s="3824"/>
      <c r="F11" s="3824"/>
      <c r="G11" s="3824"/>
      <c r="H11" s="3817"/>
      <c r="R11" s="816"/>
      <c r="S11" s="844"/>
      <c r="T11" s="994" t="s">
        <v>503</v>
      </c>
      <c r="U11" s="200"/>
      <c r="V11" s="200"/>
      <c r="W11" s="200"/>
      <c r="X11" s="200"/>
      <c r="Y11" s="200"/>
      <c r="Z11" s="200"/>
      <c r="AA11" s="200"/>
      <c r="AB11" s="849"/>
      <c r="AC11" s="200"/>
      <c r="AD11" s="200"/>
      <c r="AE11" s="200"/>
      <c r="AF11" s="200"/>
      <c r="AG11" s="200"/>
      <c r="AH11" s="200"/>
      <c r="AI11" s="849"/>
      <c r="AJ11" s="200"/>
      <c r="AK11" s="850"/>
      <c r="AN11" s="3479" t="str">
        <f>IF(T11="","",T11)</f>
        <v>Добавить наименование признака дифференциации</v>
      </c>
      <c r="AQ11" s="3432">
        <v>0</v>
      </c>
    </row>
    <row customHeight="1" ht="14.25" hidden="1">
      <c r="E12" s="3824"/>
      <c r="F12" s="3817"/>
      <c r="T12" s="856" t="s">
        <v>430</v>
      </c>
      <c r="AN12" s="3479" t="str">
        <f>IF(T12="","",T12)</f>
        <v>Добавить централизованную систему для дифференциации</v>
      </c>
      <c r="AQ12" s="3473">
        <v>0</v>
      </c>
    </row>
    <row customHeight="1" ht="14.25" hidden="1">
      <c r="E13" s="3817"/>
      <c r="T13" s="856" t="s">
        <v>431</v>
      </c>
      <c r="AN13" s="3479" t="str">
        <f>IF(T13="","",T13)</f>
        <v>Добавить территорию для дифференциации</v>
      </c>
      <c r="AQ13" s="3473">
        <v>0</v>
      </c>
    </row>
    <row customHeight="1" ht="14.25" hidden="1">
      <c r="AQ14" s="3432">
        <v>0</v>
      </c>
    </row>
    <row customHeight="1" ht="14.25" hidden="1">
      <c r="AC15" s="719"/>
      <c r="AD15" s="719"/>
      <c r="AE15" s="857"/>
      <c r="AF15" s="858"/>
      <c r="AG15" s="616" t="s">
        <v>61</v>
      </c>
      <c r="AH15" s="858"/>
      <c r="AI15" s="616" t="s">
        <v>61</v>
      </c>
      <c r="AQ15" s="3432">
        <v>0</v>
      </c>
    </row>
    <row customHeight="1" ht="14.25" hidden="1">
      <c r="AC16" s="719"/>
      <c r="AD16" s="719"/>
      <c r="AE16" s="842" t="str">
        <f>AF15&amp;"-"&amp;AH15</f>
        <v>-</v>
      </c>
      <c r="AF16" s="616"/>
      <c r="AG16" s="616"/>
      <c r="AH16" s="616"/>
      <c r="AI16" s="616"/>
      <c r="AQ16" s="3432">
        <v>0</v>
      </c>
    </row>
    <row customHeight="1" ht="14.25" hidden="1">
      <c r="AQ17" s="3432">
        <v>0</v>
      </c>
    </row>
    <row customHeight="1" ht="22.5" hidden="1">
      <c r="O18" s="859" t="s">
        <v>432</v>
      </c>
      <c r="Y18" s="859"/>
      <c r="AA18" s="859"/>
      <c r="AF18" s="859"/>
      <c r="AH18" s="859"/>
      <c r="AQ18" s="3449">
        <v>0</v>
      </c>
    </row>
    <row customHeight="1" ht="14.25" hidden="1">
      <c r="AQ19" s="3449">
        <v>0</v>
      </c>
    </row>
    <row customHeight="1" ht="12" hidden="1">
      <c r="O20" s="3830" t="s">
        <v>433</v>
      </c>
      <c r="T20" s="3449" t="s">
        <v>434</v>
      </c>
      <c r="Z20" s="3511" t="s">
        <v>435</v>
      </c>
      <c r="AB20" s="3511" t="s">
        <v>436</v>
      </c>
      <c r="AC20" s="3449" t="s">
        <v>434</v>
      </c>
      <c r="AG20" s="3511" t="s">
        <v>437</v>
      </c>
      <c r="AI20" s="3511" t="s">
        <v>436</v>
      </c>
      <c r="AQ20" s="3449">
        <v>0</v>
      </c>
    </row>
    <row customHeight="1" ht="14.25" hidden="1">
      <c r="AQ21" s="3432">
        <v>0</v>
      </c>
    </row>
    <row customHeight="1" ht="14.25" hidden="1">
      <c r="AQ22" s="3432">
        <v>0</v>
      </c>
    </row>
    <row customHeight="1" ht="14.699999999999998">
      <c r="Q23" s="3719"/>
      <c r="R23" s="3719"/>
      <c r="S23" s="3842"/>
      <c r="T23" s="3450"/>
      <c r="U23" s="3450"/>
      <c r="AQ23" s="3432">
        <v>14</v>
      </c>
    </row>
    <row customHeight="1" ht="14.699999999999998">
      <c r="Q24" s="3719"/>
      <c r="R24" s="3719"/>
      <c r="S24" s="3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46"/>
      <c r="U24" s="3646"/>
      <c r="V24" s="3646"/>
      <c r="W24" s="3646"/>
      <c r="X24" s="3646"/>
      <c r="Y24" s="3646"/>
      <c r="Z24" s="3646"/>
      <c r="AA24" s="3646"/>
      <c r="AB24" s="3646"/>
      <c r="AC24" s="3646"/>
      <c r="AD24" s="3646"/>
      <c r="AE24" s="3646"/>
      <c r="AF24" s="3646"/>
      <c r="AG24" s="3646"/>
      <c r="AH24" s="3646"/>
      <c r="AQ24" s="3432">
        <v>14</v>
      </c>
    </row>
    <row customHeight="1" ht="14.699999999999998">
      <c r="Q25" s="3719"/>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Q25" s="3432">
        <v>14</v>
      </c>
    </row>
    <row customHeight="1" ht="14.25" hidden="1">
      <c r="Q26" s="3719"/>
      <c r="R26" s="3719"/>
      <c r="S26" s="3842"/>
      <c r="T26" s="3450"/>
      <c r="U26" s="3450"/>
      <c r="V26" s="3804"/>
      <c r="W26" s="3804"/>
      <c r="X26" s="3804"/>
      <c r="Y26" s="3804"/>
      <c r="Z26" s="3804"/>
      <c r="AA26" s="3804"/>
      <c r="AB26" s="3804"/>
      <c r="AC26" s="3804"/>
      <c r="AD26" s="3804"/>
      <c r="AE26" s="3804"/>
      <c r="AF26" s="3804"/>
      <c r="AG26" s="3804"/>
      <c r="AH26" s="3804"/>
      <c r="AI26" s="3804"/>
      <c r="AQ26" s="3432">
        <v>0</v>
      </c>
    </row>
    <row customHeight="1" ht="25.5" hidden="1">
      <c r="S27" s="3843" t="s">
        <v>41</v>
      </c>
      <c r="T27" s="3843"/>
      <c r="U27" s="3844"/>
      <c r="V27" s="3806" t="str">
        <f>IF(TITLE_NAME_OR_PR_CHANGE="",IF(TITLE_NAME_OR_PR="","",TITLE_NAME_OR_PR),TITLE_NAME_OR_PR_CHANGE)</f>
        <v/>
      </c>
      <c r="W27" s="3806"/>
      <c r="X27" s="3806"/>
      <c r="Y27" s="3806"/>
      <c r="Z27" s="3806"/>
      <c r="AA27" s="3806"/>
      <c r="AC27" s="3806" t="str">
        <f>IF(TITLE_NAME_OR_PR_CHANGE="",IF(TITLE_NAME_OR_PR="","",TITLE_NAME_OR_PR),TITLE_NAME_OR_PR_CHANGE)</f>
        <v/>
      </c>
      <c r="AD27" s="3806"/>
      <c r="AE27" s="3806"/>
      <c r="AF27" s="3806"/>
      <c r="AG27" s="3806"/>
      <c r="AH27" s="3806"/>
      <c r="AQ27" s="3489">
        <v>0</v>
      </c>
    </row>
    <row customHeight="1" ht="18.75" hidden="1">
      <c r="S28" s="3843" t="s">
        <v>438</v>
      </c>
      <c r="T28" s="3843"/>
      <c r="U28" s="3844"/>
      <c r="V28" s="795" t="str">
        <f>IF(TITLE_DATE_PR_CHANGE="",IF(TITLE_DATE_PR="","",TITLE_DATE_PR),TITLE_DATE_PR_CHANGE)</f>
        <v/>
      </c>
      <c r="W28" s="795"/>
      <c r="X28" s="795"/>
      <c r="Y28" s="795"/>
      <c r="Z28" s="795"/>
      <c r="AA28" s="795"/>
      <c r="AC28" s="795" t="str">
        <f>IF(TITLE_DATE_PR_CHANGE="",IF(TITLE_DATE_PR="","",TITLE_DATE_PR),TITLE_DATE_PR_CHANGE)</f>
        <v/>
      </c>
      <c r="AD28" s="795"/>
      <c r="AE28" s="795"/>
      <c r="AF28" s="795"/>
      <c r="AG28" s="795"/>
      <c r="AH28" s="795"/>
      <c r="AQ28" s="3489">
        <v>0</v>
      </c>
    </row>
    <row customHeight="1" ht="18.75" hidden="1">
      <c r="S29" s="3843" t="s">
        <v>439</v>
      </c>
      <c r="T29" s="3843"/>
      <c r="U29" s="3844"/>
      <c r="V29" s="3806" t="str">
        <f>IF(TITLE_NUMBER_PR_CHANGE="",IF(TITLE_NUMBER_PR="","",TITLE_NUMBER_PR),TITLE_NUMBER_PR_CHANGE)</f>
        <v/>
      </c>
      <c r="W29" s="3806"/>
      <c r="X29" s="3806"/>
      <c r="Y29" s="3806"/>
      <c r="Z29" s="3806"/>
      <c r="AA29" s="3806"/>
      <c r="AC29" s="3806" t="str">
        <f>IF(TITLE_NUMBER_PR_CHANGE="",IF(TITLE_NUMBER_PR="","",TITLE_NUMBER_PR),TITLE_NUMBER_PR_CHANGE)</f>
        <v/>
      </c>
      <c r="AD29" s="3806"/>
      <c r="AE29" s="3806"/>
      <c r="AF29" s="3806"/>
      <c r="AG29" s="3806"/>
      <c r="AH29" s="3806"/>
      <c r="AQ29" s="3489">
        <v>0</v>
      </c>
    </row>
    <row customHeight="1" ht="18.75" hidden="1">
      <c r="S30" s="3843" t="s">
        <v>42</v>
      </c>
      <c r="T30" s="3843"/>
      <c r="U30" s="3844"/>
      <c r="V30" s="3806" t="str">
        <f>IF(TITLE_IST_PUB_CHANGE="",IF(TITLE_IST_PUB="","",TITLE_IST_PUB),TITLE_IST_PUB_CHANGE)</f>
        <v/>
      </c>
      <c r="W30" s="3806"/>
      <c r="X30" s="3806"/>
      <c r="Y30" s="3806"/>
      <c r="Z30" s="3806"/>
      <c r="AA30" s="3806"/>
      <c r="AC30" s="3806" t="str">
        <f>IF(TITLE_IST_PUB_CHANGE="",IF(TITLE_IST_PUB="","",TITLE_IST_PUB),TITLE_IST_PUB_CHANGE)</f>
        <v/>
      </c>
      <c r="AD30" s="3806"/>
      <c r="AE30" s="3806"/>
      <c r="AF30" s="3806"/>
      <c r="AG30" s="3806"/>
      <c r="AH30" s="3806"/>
      <c r="AQ30" s="3489">
        <v>0</v>
      </c>
    </row>
    <row customHeight="1" ht="14.25" hidden="1">
      <c r="Q31" s="3719"/>
      <c r="R31" s="3719"/>
      <c r="S31" s="3842"/>
      <c r="T31" s="3450"/>
      <c r="U31" s="3450"/>
      <c r="V31" s="3804"/>
      <c r="W31" s="3804"/>
      <c r="X31" s="3804"/>
      <c r="Y31" s="3804"/>
      <c r="Z31" s="3804"/>
      <c r="AA31" s="3804"/>
      <c r="AB31" s="3804"/>
      <c r="AC31" s="3804"/>
      <c r="AD31" s="3804"/>
      <c r="AE31" s="3804"/>
      <c r="AF31" s="3804"/>
      <c r="AG31" s="3804"/>
      <c r="AH31" s="3804"/>
      <c r="AI31" s="3804"/>
      <c r="AQ31" s="3432">
        <v>0</v>
      </c>
    </row>
    <row customHeight="1" ht="18.75" hidden="1">
      <c r="S32" s="3843" t="s">
        <v>440</v>
      </c>
      <c r="T32" s="3843"/>
      <c r="U32" s="3844"/>
      <c r="V32" s="795" t="str">
        <f>IF(TITLE_DATE_PR_CHANGE="",IF(TITLE_DATE_PR="","",TITLE_DATE_PR),TITLE_DATE_PR_CHANGE)</f>
        <v/>
      </c>
      <c r="W32" s="795"/>
      <c r="X32" s="795"/>
      <c r="Y32" s="795"/>
      <c r="Z32" s="795"/>
      <c r="AA32" s="795"/>
      <c r="AC32" s="795" t="str">
        <f>IF(TITLE_DATE_PR_CHANGE="",IF(TITLE_DATE_PR="","",TITLE_DATE_PR),TITLE_DATE_PR_CHANGE)</f>
        <v/>
      </c>
      <c r="AD32" s="795"/>
      <c r="AE32" s="795"/>
      <c r="AF32" s="795"/>
      <c r="AG32" s="795"/>
      <c r="AH32" s="795"/>
      <c r="AQ32" s="3489">
        <v>0</v>
      </c>
    </row>
    <row customHeight="1" ht="18.75" hidden="1">
      <c r="S33" s="3843" t="s">
        <v>441</v>
      </c>
      <c r="T33" s="3843"/>
      <c r="U33" s="3844"/>
      <c r="V33" s="3806" t="str">
        <f>IF(TITLE_NUMBER_PR_CHANGE="",IF(TITLE_NUMBER_PR="","",TITLE_NUMBER_PR),TITLE_NUMBER_PR_CHANGE)</f>
        <v/>
      </c>
      <c r="W33" s="3806"/>
      <c r="X33" s="3806"/>
      <c r="Y33" s="3806"/>
      <c r="Z33" s="3806"/>
      <c r="AA33" s="3806"/>
      <c r="AC33" s="3806" t="str">
        <f>IF(TITLE_NUMBER_PR_CHANGE="",IF(TITLE_NUMBER_PR="","",TITLE_NUMBER_PR),TITLE_NUMBER_PR_CHANGE)</f>
        <v/>
      </c>
      <c r="AD33" s="3806"/>
      <c r="AE33" s="3806"/>
      <c r="AF33" s="3806"/>
      <c r="AG33" s="3806"/>
      <c r="AH33" s="3806"/>
      <c r="AQ33" s="3489">
        <v>0</v>
      </c>
    </row>
    <row customHeight="1" ht="1.05">
      <c r="AB34" s="3473" t="s">
        <v>442</v>
      </c>
      <c r="AI34" s="3473" t="s">
        <v>442</v>
      </c>
      <c r="AQ34" s="3489">
        <v>1</v>
      </c>
    </row>
    <row customHeight="1" ht="14.699999999999998">
      <c r="Q35" s="3719"/>
      <c r="R35" s="3719"/>
      <c r="S35" s="3842"/>
      <c r="T35" s="3450"/>
      <c r="U35" s="3845"/>
      <c r="V35" s="3846"/>
      <c r="W35" s="3846"/>
      <c r="X35" s="3846"/>
      <c r="Y35" s="3846"/>
      <c r="Z35" s="3846"/>
      <c r="AA35" s="3846"/>
      <c r="AB35" s="3846"/>
      <c r="AC35" s="3846"/>
      <c r="AD35" s="3846"/>
      <c r="AE35" s="3846"/>
      <c r="AF35" s="3846"/>
      <c r="AG35" s="3846"/>
      <c r="AH35" s="3846"/>
      <c r="AI35" s="3846"/>
      <c r="AQ35" s="3432">
        <v>14</v>
      </c>
    </row>
    <row customHeight="1" ht="14.699999999999998">
      <c r="Q36" s="3719"/>
      <c r="R36" s="3719"/>
      <c r="S36" s="3480" t="s">
        <v>315</v>
      </c>
      <c r="T36" s="3480"/>
      <c r="U36" s="3480"/>
      <c r="V36" s="3480"/>
      <c r="W36" s="3480"/>
      <c r="X36" s="3480"/>
      <c r="Y36" s="3480"/>
      <c r="Z36" s="3480"/>
      <c r="AA36" s="3480"/>
      <c r="AB36" s="3480"/>
      <c r="AC36" s="3480"/>
      <c r="AD36" s="3480"/>
      <c r="AE36" s="3480"/>
      <c r="AF36" s="3480"/>
      <c r="AG36" s="3480"/>
      <c r="AH36" s="3480"/>
      <c r="AI36" s="3480"/>
      <c r="AJ36" s="3480"/>
      <c r="AK36" s="3480" t="s">
        <v>316</v>
      </c>
      <c r="AQ36" s="3432">
        <v>14</v>
      </c>
    </row>
    <row customHeight="1" ht="14.699999999999998">
      <c r="Q37" s="3719"/>
      <c r="R37" s="3719"/>
      <c r="S37" s="3818" t="s">
        <v>86</v>
      </c>
      <c r="T37" s="3579" t="s">
        <v>443</v>
      </c>
      <c r="U37" s="3793"/>
      <c r="V37" s="3847" t="s">
        <v>444</v>
      </c>
      <c r="W37" s="3848"/>
      <c r="X37" s="3848"/>
      <c r="Y37" s="3848"/>
      <c r="Z37" s="3848"/>
      <c r="AA37" s="3849"/>
      <c r="AB37" s="3807" t="s">
        <v>445</v>
      </c>
      <c r="AC37" s="3847" t="s">
        <v>444</v>
      </c>
      <c r="AD37" s="3848"/>
      <c r="AE37" s="3848"/>
      <c r="AF37" s="3848"/>
      <c r="AG37" s="3848"/>
      <c r="AH37" s="3849"/>
      <c r="AI37" s="3807" t="s">
        <v>446</v>
      </c>
      <c r="AJ37" s="868" t="s">
        <v>447</v>
      </c>
      <c r="AK37" s="3480"/>
      <c r="AQ37" s="3432">
        <v>14</v>
      </c>
    </row>
    <row customHeight="1" ht="35.699999999999996">
      <c r="Q38" s="3719"/>
      <c r="R38" s="3719"/>
      <c r="S38" s="3818"/>
      <c r="T38" s="3579"/>
      <c r="U38" s="3798"/>
      <c r="V38" s="3558" t="s">
        <v>504</v>
      </c>
      <c r="W38" s="3437" t="s">
        <v>450</v>
      </c>
      <c r="X38" s="3436"/>
      <c r="Y38" s="3437" t="s">
        <v>451</v>
      </c>
      <c r="Z38" s="3477"/>
      <c r="AA38" s="3436"/>
      <c r="AB38" s="3851"/>
      <c r="AC38" s="3558" t="s">
        <v>504</v>
      </c>
      <c r="AD38" s="3437" t="s">
        <v>450</v>
      </c>
      <c r="AE38" s="3436"/>
      <c r="AF38" s="3437" t="s">
        <v>451</v>
      </c>
      <c r="AG38" s="3477"/>
      <c r="AH38" s="3436"/>
      <c r="AI38" s="3851"/>
      <c r="AJ38" s="871"/>
      <c r="AK38" s="3480"/>
      <c r="AQ38" s="3432">
        <v>34</v>
      </c>
    </row>
    <row customHeight="1" ht="90.3">
      <c r="B39" s="3511" t="s">
        <v>153</v>
      </c>
      <c r="C39" s="3511" t="s">
        <v>154</v>
      </c>
      <c r="D39" s="3511" t="s">
        <v>155</v>
      </c>
      <c r="E39" s="3830" t="s">
        <v>452</v>
      </c>
      <c r="F39" s="3830" t="s">
        <v>453</v>
      </c>
      <c r="G39" s="3830" t="s">
        <v>454</v>
      </c>
      <c r="I39" s="3830" t="s">
        <v>505</v>
      </c>
      <c r="J39" s="3830" t="s">
        <v>457</v>
      </c>
      <c r="K39" s="3830" t="s">
        <v>506</v>
      </c>
      <c r="L39" s="3830" t="s">
        <v>433</v>
      </c>
      <c r="Q39" s="3719"/>
      <c r="R39" s="3719"/>
      <c r="S39" s="3818"/>
      <c r="T39" s="3579"/>
      <c r="U39" s="3852"/>
      <c r="V39" s="3558" t="s">
        <v>533</v>
      </c>
      <c r="W39" s="3525" t="s">
        <v>534</v>
      </c>
      <c r="X39" s="3525" t="s">
        <v>509</v>
      </c>
      <c r="Y39" s="3525" t="s">
        <v>461</v>
      </c>
      <c r="Z39" s="3626" t="s">
        <v>462</v>
      </c>
      <c r="AA39" s="3628"/>
      <c r="AB39" s="3810"/>
      <c r="AC39" s="3558" t="s">
        <v>533</v>
      </c>
      <c r="AD39" s="3525" t="s">
        <v>534</v>
      </c>
      <c r="AE39" s="3525" t="s">
        <v>509</v>
      </c>
      <c r="AF39" s="3525" t="s">
        <v>461</v>
      </c>
      <c r="AG39" s="3626" t="s">
        <v>462</v>
      </c>
      <c r="AH39" s="3628"/>
      <c r="AI39" s="3810"/>
      <c r="AJ39" s="873"/>
      <c r="AK39" s="3480"/>
      <c r="AQ39" s="3432">
        <v>86</v>
      </c>
    </row>
    <row customHeight="1" ht="11.25" hidden="1">
      <c r="Q40" s="3853"/>
      <c r="R40" s="3854">
        <v>1</v>
      </c>
      <c r="S40" s="876" t="s">
        <v>107</v>
      </c>
      <c r="T40" s="877" t="s">
        <v>108</v>
      </c>
      <c r="U40" s="3855" t="str">
        <f>OFFSET(U40,0,-1)</f>
        <v>2</v>
      </c>
      <c r="V40" s="3856">
        <f>OFFSET(V40,0,-1)+1</f>
        <v>3</v>
      </c>
      <c r="W40" s="3856">
        <f>OFFSET(W40,0,-1)+1</f>
        <v>4</v>
      </c>
      <c r="X40" s="3856">
        <f>OFFSET(X40,0,-1)+1</f>
        <v>5</v>
      </c>
      <c r="Y40" s="3856">
        <f>OFFSET(Y40,0,-1)+1</f>
        <v>6</v>
      </c>
      <c r="Z40" s="3856">
        <f>OFFSET(Z40,0,-1)+1</f>
        <v>7</v>
      </c>
      <c r="AA40" s="3856"/>
      <c r="AB40" s="3856">
        <f>OFFSET(AB40,0,-2)+1</f>
        <v>8</v>
      </c>
      <c r="AC40" s="3856">
        <f>OFFSET(AC40,0,-1)+1</f>
        <v>9</v>
      </c>
      <c r="AD40" s="3856">
        <f>OFFSET(AD40,0,-1)+1</f>
        <v>10</v>
      </c>
      <c r="AE40" s="3856">
        <f>OFFSET(AE40,0,-1)+1</f>
        <v>11</v>
      </c>
      <c r="AF40" s="3856">
        <f>OFFSET(AF40,0,-1)+1</f>
        <v>12</v>
      </c>
      <c r="AG40" s="3856">
        <f>OFFSET(AG40,0,-1)+1</f>
        <v>13</v>
      </c>
      <c r="AH40" s="3856"/>
      <c r="AI40" s="3856">
        <f>OFFSET(AI40,0,-2)+1</f>
        <v>14</v>
      </c>
      <c r="AJ40" s="3855">
        <f>OFFSET(AJ40,0,-1)</f>
        <v>14</v>
      </c>
      <c r="AK40" s="3856">
        <f>OFFSET(AK40,0,-1)+1</f>
        <v>15</v>
      </c>
      <c r="AQ40" s="3637">
        <v>0</v>
      </c>
    </row>
    <row customHeight="1" ht="24">
      <c r="A41" s="3857" t="s">
        <v>281</v>
      </c>
      <c r="E41" s="3817">
        <v>1</v>
      </c>
      <c r="R41" s="816"/>
      <c r="S41" s="3818">
        <f>INDEX(PT_DIFFERENTIATION_NUM_NTAR,MATCH(A41,PT_DIFFERENTIATION_NTAR_ID,0))</f>
        <v>0</v>
      </c>
      <c r="T41" s="3764" t="s">
        <v>141</v>
      </c>
      <c r="U41" s="3819"/>
      <c r="V41" s="3820"/>
      <c r="W41" s="3821"/>
      <c r="X41" s="3821"/>
      <c r="Y41" s="3821"/>
      <c r="Z41" s="3821"/>
      <c r="AA41" s="3821"/>
      <c r="AB41" s="3822"/>
      <c r="AC41" s="3820" t="str">
        <f>INDEX(PT_DIFFERENTIATION_NTAR,MATCH(A41,PT_DIFFERENTIATION_NTAR_ID,0))</f>
        <v/>
      </c>
      <c r="AD41" s="3821"/>
      <c r="AE41" s="3821"/>
      <c r="AF41" s="3821"/>
      <c r="AG41" s="3821"/>
      <c r="AH41" s="3821"/>
      <c r="AI41" s="3821"/>
      <c r="AJ41" s="3822"/>
      <c r="AK41"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3479" t="str">
        <f>IF(T41="","",T41)</f>
        <v>Наименование тарифа</v>
      </c>
      <c r="AQ41" s="3432">
        <v>23</v>
      </c>
    </row>
    <row customHeight="1" ht="24">
      <c r="A42" s="3857" t="s">
        <v>281</v>
      </c>
      <c r="B42" s="3857" t="s">
        <v>282</v>
      </c>
      <c r="E42" s="3824"/>
      <c r="F42" s="3817">
        <v>1</v>
      </c>
      <c r="Q42" s="3825"/>
      <c r="R42" s="3826"/>
      <c r="S42" s="3818" t="str">
        <f>INDEX(PT_DIFFERENTIATION_NUM_TER,MATCH(B42,PT_DIFFERENTIATION_TER_ID,0))</f>
        <v>.</v>
      </c>
      <c r="T42" s="3827" t="s">
        <v>412</v>
      </c>
      <c r="U42" s="3819"/>
      <c r="V42" s="3820"/>
      <c r="W42" s="3821"/>
      <c r="X42" s="3821"/>
      <c r="Y42" s="3821"/>
      <c r="Z42" s="3821"/>
      <c r="AA42" s="3821"/>
      <c r="AB42" s="3822"/>
      <c r="AC42" s="3820" t="str">
        <f>INDEX(PT_DIFFERENTIATION_TER,MATCH(B42,PT_DIFFERENTIATION_TER_ID,0))</f>
        <v/>
      </c>
      <c r="AD42" s="3821"/>
      <c r="AE42" s="3821"/>
      <c r="AF42" s="3821"/>
      <c r="AG42" s="3821"/>
      <c r="AH42" s="3821"/>
      <c r="AI42" s="3821"/>
      <c r="AJ42" s="3822"/>
      <c r="AK42" s="3823" t="s">
        <v>413</v>
      </c>
      <c r="AN42" s="3479" t="str">
        <f>IF(T42="","",T42)</f>
        <v>Территория действия тарифа</v>
      </c>
      <c r="AQ42" s="3432">
        <v>23</v>
      </c>
    </row>
    <row customHeight="1" ht="24">
      <c r="A43" s="3857" t="s">
        <v>281</v>
      </c>
      <c r="B43" s="3857" t="s">
        <v>282</v>
      </c>
      <c r="C43" s="3857" t="s">
        <v>283</v>
      </c>
      <c r="E43" s="3824"/>
      <c r="F43" s="3824"/>
      <c r="G43" s="3817">
        <v>1</v>
      </c>
      <c r="Q43" s="3825"/>
      <c r="R43" s="3826"/>
      <c r="S43" s="3818" t="str">
        <f>INDEX(PT_DIFFERENTIATION_NUM_CS,MATCH(C43,PT_DIFFERENTIATION_CS_ID,0))</f>
        <v>..</v>
      </c>
      <c r="T43" s="3828" t="s">
        <v>531</v>
      </c>
      <c r="U43" s="3819"/>
      <c r="V43" s="3820"/>
      <c r="W43" s="3821"/>
      <c r="X43" s="3821"/>
      <c r="Y43" s="3821"/>
      <c r="Z43" s="3821"/>
      <c r="AA43" s="3821"/>
      <c r="AB43" s="3822"/>
      <c r="AC43" s="3820" t="str">
        <f>INDEX(PT_DIFFERENTIATION_CS,MATCH(C43,PT_DIFFERENTIATION_CS_ID,0))</f>
        <v/>
      </c>
      <c r="AD43" s="3821"/>
      <c r="AE43" s="3821"/>
      <c r="AF43" s="3821"/>
      <c r="AG43" s="3821"/>
      <c r="AH43" s="3821"/>
      <c r="AI43" s="3821"/>
      <c r="AJ43" s="3822"/>
      <c r="AK43" s="3823" t="s">
        <v>532</v>
      </c>
      <c r="AN43" s="3479" t="str">
        <f>IF(T43="","",T43)</f>
        <v>Наименование централизованной системы водоотведения</v>
      </c>
      <c r="AQ43" s="3432">
        <v>23</v>
      </c>
    </row>
    <row customHeight="1" ht="24">
      <c r="A44" s="3857" t="s">
        <v>281</v>
      </c>
      <c r="B44" s="3857" t="s">
        <v>282</v>
      </c>
      <c r="C44" s="3857" t="s">
        <v>283</v>
      </c>
      <c r="D44" s="3857" t="s">
        <v>535</v>
      </c>
      <c r="E44" s="3824"/>
      <c r="F44" s="3824"/>
      <c r="G44" s="3824"/>
      <c r="H44" s="3824"/>
      <c r="I44" s="3711" t="str">
        <f>S43&amp;".1"</f>
        <v>...1</v>
      </c>
      <c r="P44" s="3471">
        <v>1</v>
      </c>
      <c r="R44" s="3831"/>
      <c r="S44" s="3818" t="str">
        <f>$I44</f>
        <v>...1</v>
      </c>
      <c r="T44" s="3832" t="s">
        <v>498</v>
      </c>
      <c r="U44" s="3819"/>
      <c r="V44" s="3938"/>
      <c r="W44" s="3939"/>
      <c r="X44" s="3939"/>
      <c r="Y44" s="3939"/>
      <c r="Z44" s="3939"/>
      <c r="AA44" s="3939"/>
      <c r="AB44" s="3940"/>
      <c r="AC44" s="1018"/>
      <c r="AD44" s="1031"/>
      <c r="AE44" s="1031"/>
      <c r="AF44" s="1031"/>
      <c r="AG44" s="1031"/>
      <c r="AH44" s="1031"/>
      <c r="AI44" s="1031"/>
      <c r="AJ44" s="1032"/>
      <c r="AK44" s="3823" t="s">
        <v>499</v>
      </c>
      <c r="AN44" s="3479" t="str">
        <f>IF(T44="","",T44)</f>
        <v>Наименование признака дифференциации</v>
      </c>
      <c r="AQ44" s="3432">
        <v>23</v>
      </c>
    </row>
    <row customHeight="1" ht="24">
      <c r="A45" s="3857" t="s">
        <v>281</v>
      </c>
      <c r="B45" s="3857" t="s">
        <v>282</v>
      </c>
      <c r="C45" s="3857" t="s">
        <v>283</v>
      </c>
      <c r="D45" s="3857" t="s">
        <v>535</v>
      </c>
      <c r="E45" s="3824"/>
      <c r="F45" s="3824"/>
      <c r="G45" s="3824"/>
      <c r="H45" s="3824"/>
      <c r="I45" s="3835"/>
      <c r="J45" s="3711" t="str">
        <f>I44&amp;".1"</f>
        <v>...1.1</v>
      </c>
      <c r="L45" s="3830" t="s">
        <v>421</v>
      </c>
      <c r="Q45" s="3471">
        <v>1</v>
      </c>
      <c r="R45" s="3836"/>
      <c r="S45" s="3818" t="str">
        <f>$J45</f>
        <v>...1.1</v>
      </c>
      <c r="T45" s="3837" t="s">
        <v>422</v>
      </c>
      <c r="U45" s="3819"/>
      <c r="V45" s="3638"/>
      <c r="W45" s="3833"/>
      <c r="X45" s="3833"/>
      <c r="Y45" s="3833"/>
      <c r="Z45" s="3833"/>
      <c r="AA45" s="3833"/>
      <c r="AB45" s="3834"/>
      <c r="AC45" s="3638"/>
      <c r="AD45" s="3833"/>
      <c r="AE45" s="3833"/>
      <c r="AF45" s="3833"/>
      <c r="AG45" s="3833"/>
      <c r="AH45" s="3833"/>
      <c r="AI45" s="3833"/>
      <c r="AJ45" s="3834"/>
      <c r="AK45" s="3883" t="s">
        <v>500</v>
      </c>
      <c r="AN45" s="3479" t="str">
        <f>IF(T45="","",T45)</f>
        <v>Группа потребителей</v>
      </c>
      <c r="AQ45" s="3432">
        <v>23</v>
      </c>
    </row>
    <row customHeight="1" ht="24">
      <c r="A46" s="3857" t="s">
        <v>281</v>
      </c>
      <c r="B46" s="3857" t="s">
        <v>282</v>
      </c>
      <c r="C46" s="3857" t="s">
        <v>283</v>
      </c>
      <c r="D46" s="3857" t="s">
        <v>535</v>
      </c>
      <c r="E46" s="3824"/>
      <c r="F46" s="3824"/>
      <c r="G46" s="3824"/>
      <c r="H46" s="3824"/>
      <c r="I46" s="3835"/>
      <c r="J46" s="3835"/>
      <c r="K46" s="3711" t="str">
        <f>J45&amp;".1"</f>
        <v>...1.1.1</v>
      </c>
      <c r="R46" s="3836">
        <v>1</v>
      </c>
      <c r="S46" s="3818" t="str">
        <f>$K46</f>
        <v>...1.1.1</v>
      </c>
      <c r="T46" s="1033"/>
      <c r="U46" s="3819"/>
      <c r="V46" s="719"/>
      <c r="W46" s="719"/>
      <c r="X46" s="857"/>
      <c r="Y46" s="858"/>
      <c r="Z46" s="616" t="s">
        <v>61</v>
      </c>
      <c r="AA46" s="858"/>
      <c r="AB46" s="616" t="s">
        <v>61</v>
      </c>
      <c r="AC46" s="838"/>
      <c r="AD46" s="838"/>
      <c r="AE46" s="840"/>
      <c r="AF46" s="572"/>
      <c r="AG46" s="210" t="s">
        <v>61</v>
      </c>
      <c r="AH46" s="881"/>
      <c r="AI46" s="210" t="s">
        <v>19</v>
      </c>
      <c r="AJ46" s="1034"/>
      <c r="AK46"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473">
        <f>STRCHECKDATE(V47:AJ47)</f>
      </c>
      <c r="AN46" s="3479" t="str">
        <f>IF(T46="","",T46)</f>
        <v/>
      </c>
      <c r="AQ46" s="3432">
        <v>23</v>
      </c>
    </row>
    <row customHeight="1" ht="0">
      <c r="A47" s="3857" t="s">
        <v>281</v>
      </c>
      <c r="B47" s="3857" t="s">
        <v>282</v>
      </c>
      <c r="C47" s="3857" t="s">
        <v>283</v>
      </c>
      <c r="D47" s="3857" t="s">
        <v>535</v>
      </c>
      <c r="E47" s="3824"/>
      <c r="F47" s="3824"/>
      <c r="G47" s="3824"/>
      <c r="H47" s="3824"/>
      <c r="I47" s="3835"/>
      <c r="J47" s="3835"/>
      <c r="K47" s="3711"/>
      <c r="R47" s="3836"/>
      <c r="S47" s="421"/>
      <c r="T47" s="3819"/>
      <c r="U47" s="3819"/>
      <c r="V47" s="719"/>
      <c r="W47" s="719"/>
      <c r="X47" s="842" t="str">
        <f>Y46&amp;"-"&amp;AA46</f>
        <v>-</v>
      </c>
      <c r="Y47" s="616"/>
      <c r="Z47" s="616"/>
      <c r="AA47" s="616"/>
      <c r="AB47" s="616"/>
      <c r="AC47" s="839"/>
      <c r="AD47" s="839"/>
      <c r="AE47" s="842" t="str">
        <f>AF46&amp;"-"&amp;AH46</f>
        <v>-</v>
      </c>
      <c r="AF47" s="573"/>
      <c r="AG47" s="210"/>
      <c r="AH47" s="883"/>
      <c r="AI47" s="210"/>
      <c r="AJ47" s="1015"/>
      <c r="AK47" s="3941"/>
      <c r="AN47" s="3479" t="str">
        <f>IF(T47="","",T47)</f>
        <v/>
      </c>
      <c r="AQ47" s="3432">
        <v>0</v>
      </c>
    </row>
    <row customHeight="1" ht="21">
      <c r="A48" s="3857" t="s">
        <v>281</v>
      </c>
      <c r="B48" s="3857" t="s">
        <v>282</v>
      </c>
      <c r="C48" s="3857" t="s">
        <v>283</v>
      </c>
      <c r="D48" s="3857" t="s">
        <v>535</v>
      </c>
      <c r="E48" s="3824"/>
      <c r="F48" s="3824"/>
      <c r="G48" s="3824"/>
      <c r="H48" s="3824"/>
      <c r="I48" s="3835"/>
      <c r="J48" s="3711"/>
      <c r="R48" s="3831"/>
      <c r="S48" s="844"/>
      <c r="T48" s="848" t="s">
        <v>501</v>
      </c>
      <c r="U48" s="200"/>
      <c r="V48" s="200"/>
      <c r="W48" s="200"/>
      <c r="X48" s="200"/>
      <c r="Y48" s="200"/>
      <c r="Z48" s="200"/>
      <c r="AA48" s="200"/>
      <c r="AB48" s="200"/>
      <c r="AC48" s="200"/>
      <c r="AD48" s="200"/>
      <c r="AE48" s="200"/>
      <c r="AF48" s="200"/>
      <c r="AG48" s="200"/>
      <c r="AH48" s="200"/>
      <c r="AI48" s="200"/>
      <c r="AJ48" s="200"/>
      <c r="AK48" s="3823" t="s">
        <v>502</v>
      </c>
      <c r="AN48" s="3479" t="str">
        <f>IF(T48="","",T48)</f>
        <v>Добавить значение признака дифференциации</v>
      </c>
      <c r="AQ48" s="3432">
        <v>20</v>
      </c>
    </row>
    <row customHeight="1" ht="22.049999999999997">
      <c r="A49" s="3857" t="s">
        <v>281</v>
      </c>
      <c r="B49" s="3857" t="s">
        <v>282</v>
      </c>
      <c r="C49" s="3857" t="s">
        <v>283</v>
      </c>
      <c r="D49" s="3857" t="s">
        <v>535</v>
      </c>
      <c r="E49" s="3824"/>
      <c r="F49" s="3824"/>
      <c r="G49" s="3824"/>
      <c r="H49" s="3824"/>
      <c r="I49" s="3711"/>
      <c r="R49" s="3831"/>
      <c r="S49" s="844"/>
      <c r="T49" s="851" t="s">
        <v>427</v>
      </c>
      <c r="U49" s="200"/>
      <c r="V49" s="200"/>
      <c r="W49" s="200"/>
      <c r="X49" s="200"/>
      <c r="Y49" s="200"/>
      <c r="Z49" s="200"/>
      <c r="AA49" s="200"/>
      <c r="AB49" s="849"/>
      <c r="AC49" s="200"/>
      <c r="AD49" s="200"/>
      <c r="AE49" s="200"/>
      <c r="AF49" s="200"/>
      <c r="AG49" s="200"/>
      <c r="AH49" s="200"/>
      <c r="AI49" s="849"/>
      <c r="AJ49" s="200"/>
      <c r="AK49" s="1036"/>
      <c r="AN49" s="3479" t="str">
        <f>IF(T49="","",T49)</f>
        <v>Добавить группу потребителей</v>
      </c>
      <c r="AQ49" s="3432">
        <v>21</v>
      </c>
    </row>
    <row customHeight="1" ht="22.049999999999997">
      <c r="A50" s="3857" t="s">
        <v>281</v>
      </c>
      <c r="B50" s="3857" t="s">
        <v>282</v>
      </c>
      <c r="C50" s="3857" t="s">
        <v>283</v>
      </c>
      <c r="D50" s="3857" t="s">
        <v>535</v>
      </c>
      <c r="E50" s="3824"/>
      <c r="F50" s="3824"/>
      <c r="G50" s="3824"/>
      <c r="H50" s="3817"/>
      <c r="R50" s="816"/>
      <c r="S50" s="844"/>
      <c r="T50" s="994" t="s">
        <v>503</v>
      </c>
      <c r="U50" s="200"/>
      <c r="V50" s="200"/>
      <c r="W50" s="200"/>
      <c r="X50" s="200"/>
      <c r="Y50" s="200"/>
      <c r="Z50" s="200"/>
      <c r="AA50" s="200"/>
      <c r="AB50" s="849"/>
      <c r="AC50" s="200"/>
      <c r="AD50" s="200"/>
      <c r="AE50" s="200"/>
      <c r="AF50" s="200"/>
      <c r="AG50" s="200"/>
      <c r="AH50" s="200"/>
      <c r="AI50" s="849"/>
      <c r="AJ50" s="200"/>
      <c r="AK50" s="850"/>
      <c r="AN50" s="3479" t="str">
        <f>IF(T50="","",T50)</f>
        <v>Добавить наименование признака дифференциации</v>
      </c>
      <c r="AQ50" s="3432">
        <v>21</v>
      </c>
    </row>
    <row customHeight="1" ht="0">
      <c r="A51" s="3470" t="s">
        <v>281</v>
      </c>
      <c r="B51" s="3470" t="s">
        <v>282</v>
      </c>
      <c r="E51" s="3824"/>
      <c r="F51" s="3817"/>
      <c r="T51" s="856" t="s">
        <v>430</v>
      </c>
      <c r="AN51" s="3479" t="str">
        <f>IF(T51="","",T51)</f>
        <v>Добавить централизованную систему для дифференциации</v>
      </c>
      <c r="AQ51" s="3473">
        <v>0</v>
      </c>
    </row>
    <row customHeight="1" ht="0">
      <c r="A52" s="3470" t="s">
        <v>281</v>
      </c>
      <c r="E52" s="3817"/>
      <c r="T52" s="856" t="s">
        <v>431</v>
      </c>
      <c r="AN52" s="3479" t="str">
        <f>IF(T52="","",T52)</f>
        <v>Добавить территорию для дифференциации</v>
      </c>
      <c r="AQ52" s="3473">
        <v>0</v>
      </c>
    </row>
    <row customHeight="1" ht="0">
      <c r="T53" s="856" t="s">
        <v>463</v>
      </c>
      <c r="AN53" s="3479" t="str">
        <f>IF(T53="","",T53)</f>
        <v>Добавить наименование тарифа</v>
      </c>
      <c r="AQ53" s="3473">
        <v>0</v>
      </c>
    </row>
    <row customHeight="1" ht="11.549999999999999">
      <c r="AQ54" s="3432">
        <v>11</v>
      </c>
    </row>
    <row customHeight="1" ht="14.699999999999998">
      <c r="AQ55" s="3432">
        <v>14</v>
      </c>
    </row>
    <row customHeight="1" ht="14.699999999999998">
      <c r="AQ56" s="3432">
        <v>14</v>
      </c>
    </row>
    <row customHeight="1" ht="14.699999999999998">
      <c r="AQ57" s="3432">
        <v>14</v>
      </c>
    </row>
    <row customHeight="1" ht="22.5" hidden="1">
      <c r="A58" s="3449" t="s">
        <v>80</v>
      </c>
      <c r="B58" s="3449">
        <v>0</v>
      </c>
      <c r="C58" s="3449">
        <v>0</v>
      </c>
      <c r="D58" s="3449">
        <v>0</v>
      </c>
      <c r="E58" s="3449">
        <v>0</v>
      </c>
      <c r="F58" s="3449">
        <v>0</v>
      </c>
      <c r="G58" s="3449">
        <v>0</v>
      </c>
      <c r="H58" s="3449">
        <v>0</v>
      </c>
      <c r="I58" s="3449">
        <v>0</v>
      </c>
      <c r="J58" s="3449">
        <v>0</v>
      </c>
      <c r="K58" s="3449">
        <v>0</v>
      </c>
      <c r="L58" s="3618">
        <v>0</v>
      </c>
      <c r="M58" s="105">
        <v>0</v>
      </c>
      <c r="N58" s="105">
        <v>0</v>
      </c>
      <c r="O58" s="105">
        <v>0</v>
      </c>
      <c r="P58" s="782">
        <v>3</v>
      </c>
      <c r="Q58" s="3797">
        <v>3</v>
      </c>
      <c r="R58" s="3797">
        <v>3</v>
      </c>
      <c r="S58" s="3447">
        <v>12</v>
      </c>
      <c r="T58" s="3432">
        <v>35</v>
      </c>
      <c r="U58" s="3432">
        <v>0</v>
      </c>
      <c r="V58" s="3432">
        <v>0</v>
      </c>
      <c r="W58" s="3432">
        <v>0</v>
      </c>
      <c r="X58" s="3432">
        <v>0</v>
      </c>
      <c r="Y58" s="3432">
        <v>0</v>
      </c>
      <c r="Z58" s="3432">
        <v>0</v>
      </c>
      <c r="AA58" s="3432">
        <v>0</v>
      </c>
      <c r="AB58" s="3432">
        <v>0</v>
      </c>
      <c r="AC58" s="3432">
        <v>24</v>
      </c>
      <c r="AD58" s="3432">
        <v>24</v>
      </c>
      <c r="AE58" s="3432">
        <v>24</v>
      </c>
      <c r="AF58" s="3432">
        <v>11</v>
      </c>
      <c r="AG58" s="3432">
        <v>3</v>
      </c>
      <c r="AH58" s="3432">
        <v>11</v>
      </c>
      <c r="AI58" s="3432">
        <v>0</v>
      </c>
      <c r="AJ58" s="3432">
        <v>4</v>
      </c>
      <c r="AK58" s="3432">
        <v>115</v>
      </c>
      <c r="AL58" s="3473">
        <v>10</v>
      </c>
      <c r="AM58" s="3473">
        <v>10</v>
      </c>
      <c r="AN58" s="3473">
        <v>10</v>
      </c>
      <c r="AO58" s="3473">
        <v>10</v>
      </c>
      <c r="AP58" s="3473">
        <v>10</v>
      </c>
      <c r="AQ58" s="34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EBE51-24BB-CEE9-9AED-38272500D4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4.140625" hidden="1" customWidth="1"/>
    <col min="10" max="10" style="7348" width="9.8515625" hidden="1" customWidth="1"/>
    <col min="11" max="11" style="7348" width="14.71093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4" style="7348" width="24.7109375" hidden="1" customWidth="1"/>
    <col min="25" max="25" style="7348" width="11.7109375" hidden="1" customWidth="1"/>
    <col min="26" max="26" style="7348" width="3.7109375" hidden="1" customWidth="1"/>
    <col min="27" max="27" style="7348" width="11.7109375" hidden="1" customWidth="1"/>
    <col min="28" max="28" style="7348" width="8.57421875" hidden="1" customWidth="1"/>
    <col min="29" max="29" style="7348" width="24.7109375" customWidth="1"/>
    <col min="30" max="31" style="7348" width="24.00390625" customWidth="1"/>
    <col min="32" max="32" style="7348" width="11.00390625" customWidth="1"/>
    <col min="33" max="33" style="7348" width="3.7109375" customWidth="1"/>
    <col min="34" max="34" style="7348" width="11.00390625" customWidth="1"/>
    <col min="35" max="35" style="7348" width="8.57421875" hidden="1" customWidth="1"/>
    <col min="36" max="36" style="7348" width="4.00390625" customWidth="1"/>
    <col min="37" max="37" style="7348" width="115.00390625" customWidth="1"/>
    <col min="38" max="42" style="7348" width="10.00390625" customWidth="1"/>
    <col min="43" max="43" style="7348" width="10.57421875" hidden="1"/>
  </cols>
  <sheetData>
    <row customHeight="1" ht="22.5" hidden="1">
      <c r="AQ1" s="3432" t="s">
        <v>14</v>
      </c>
    </row>
    <row customHeight="1" ht="23.25" hidden="1">
      <c r="E2" s="3817">
        <v>1</v>
      </c>
      <c r="R2" s="816"/>
      <c r="S2" s="3818">
        <f>INDEX(PT_DIFFERENTIATION_NUM_NTAR,MATCH(A2,PT_DIFFERENTIATION_NTAR_ID,0))</f>
      </c>
      <c r="T2" s="3764" t="s">
        <v>141</v>
      </c>
      <c r="U2" s="3819"/>
      <c r="V2" s="3820"/>
      <c r="W2" s="3821"/>
      <c r="X2" s="3821"/>
      <c r="Y2" s="3821"/>
      <c r="Z2" s="3821"/>
      <c r="AA2" s="3821"/>
      <c r="AB2" s="3822"/>
      <c r="AC2" s="3820">
        <f>INDEX(PT_DIFFERENTIATION_NTAR,MATCH(A2,PT_DIFFERENTIATION_NTAR_ID,0))</f>
      </c>
      <c r="AD2" s="3821"/>
      <c r="AE2" s="3821"/>
      <c r="AF2" s="3821"/>
      <c r="AG2" s="3821"/>
      <c r="AH2" s="3821"/>
      <c r="AI2" s="3821"/>
      <c r="AJ2" s="3822"/>
      <c r="AK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3479" t="str">
        <f>IF(T2="","",T2)</f>
        <v>Наименование тарифа</v>
      </c>
      <c r="AQ2" s="3432">
        <v>0</v>
      </c>
    </row>
    <row customHeight="1" ht="23.25" hidden="1">
      <c r="E3" s="3824"/>
      <c r="F3" s="3817">
        <v>1</v>
      </c>
      <c r="Q3" s="3825"/>
      <c r="R3" s="3826"/>
      <c r="S3" s="3818">
        <f>INDEX(PT_DIFFERENTIATION_NUM_TER,MATCH(B3,PT_DIFFERENTIATION_TER_ID,0))</f>
      </c>
      <c r="T3" s="3827" t="s">
        <v>412</v>
      </c>
      <c r="U3" s="3819"/>
      <c r="V3" s="3820"/>
      <c r="W3" s="3821"/>
      <c r="X3" s="3821"/>
      <c r="Y3" s="3821"/>
      <c r="Z3" s="3821"/>
      <c r="AA3" s="3821"/>
      <c r="AB3" s="3822"/>
      <c r="AC3" s="3820">
        <f>INDEX(PT_DIFFERENTIATION_TER,MATCH(B3,PT_DIFFERENTIATION_TER_ID,0))</f>
      </c>
      <c r="AD3" s="3821"/>
      <c r="AE3" s="3821"/>
      <c r="AF3" s="3821"/>
      <c r="AG3" s="3821"/>
      <c r="AH3" s="3821"/>
      <c r="AI3" s="3821"/>
      <c r="AJ3" s="3822"/>
      <c r="AK3" s="3823" t="s">
        <v>413</v>
      </c>
      <c r="AN3" s="3479" t="str">
        <f>IF(T3="","",T3)</f>
        <v>Территория действия тарифа</v>
      </c>
      <c r="AQ3" s="3432">
        <v>0</v>
      </c>
    </row>
    <row customHeight="1" ht="23.25" hidden="1">
      <c r="E4" s="3824"/>
      <c r="F4" s="3824"/>
      <c r="G4" s="3817">
        <v>1</v>
      </c>
      <c r="Q4" s="3825"/>
      <c r="R4" s="3826"/>
      <c r="S4" s="3818">
        <f>INDEX(PT_DIFFERENTIATION_NUM_CS,MATCH(C4,PT_DIFFERENTIATION_CS_ID,0))</f>
      </c>
      <c r="T4" s="3828" t="s">
        <v>531</v>
      </c>
      <c r="U4" s="3819"/>
      <c r="V4" s="3820"/>
      <c r="W4" s="3821"/>
      <c r="X4" s="3821"/>
      <c r="Y4" s="3821"/>
      <c r="Z4" s="3821"/>
      <c r="AA4" s="3821"/>
      <c r="AB4" s="3822"/>
      <c r="AC4" s="3820">
        <f>INDEX(PT_DIFFERENTIATION_CS,MATCH(C4,PT_DIFFERENTIATION_CS_ID,0))</f>
      </c>
      <c r="AD4" s="3821"/>
      <c r="AE4" s="3821"/>
      <c r="AF4" s="3821"/>
      <c r="AG4" s="3821"/>
      <c r="AH4" s="3821"/>
      <c r="AI4" s="3821"/>
      <c r="AJ4" s="3822"/>
      <c r="AK4" s="3823" t="s">
        <v>532</v>
      </c>
      <c r="AN4" s="3479" t="str">
        <f>IF(T4="","",T4)</f>
        <v>Наименование централизованной системы водоотведения</v>
      </c>
      <c r="AQ4" s="3432">
        <v>0</v>
      </c>
    </row>
    <row customHeight="1" ht="23.25" hidden="1">
      <c r="E5" s="3824"/>
      <c r="F5" s="3824"/>
      <c r="G5" s="3824"/>
      <c r="H5" s="3824"/>
      <c r="I5" s="3711">
        <f>S4&amp;".1"</f>
      </c>
      <c r="P5" s="3471">
        <v>1</v>
      </c>
      <c r="R5" s="3831"/>
      <c r="S5" s="3818">
        <f>$I5</f>
      </c>
      <c r="T5" s="3832" t="s">
        <v>498</v>
      </c>
      <c r="U5" s="3819"/>
      <c r="V5" s="3938"/>
      <c r="W5" s="3939"/>
      <c r="X5" s="3939"/>
      <c r="Y5" s="3939"/>
      <c r="Z5" s="3939"/>
      <c r="AA5" s="3939"/>
      <c r="AB5" s="3940"/>
      <c r="AC5" s="1018"/>
      <c r="AD5" s="1031"/>
      <c r="AE5" s="1031"/>
      <c r="AF5" s="1031"/>
      <c r="AG5" s="1031"/>
      <c r="AH5" s="1031"/>
      <c r="AI5" s="1031"/>
      <c r="AJ5" s="1032"/>
      <c r="AK5" s="3823" t="s">
        <v>499</v>
      </c>
      <c r="AN5" s="3479" t="str">
        <f>IF(T5="","",T5)</f>
        <v>Наименование признака дифференциации</v>
      </c>
      <c r="AQ5" s="3432">
        <v>0</v>
      </c>
    </row>
    <row customHeight="1" ht="23.25" hidden="1">
      <c r="E6" s="3824"/>
      <c r="F6" s="3824"/>
      <c r="G6" s="3824"/>
      <c r="H6" s="3824"/>
      <c r="I6" s="3835"/>
      <c r="J6" s="3711">
        <f>I5&amp;".1"</f>
      </c>
      <c r="L6" s="3830" t="s">
        <v>421</v>
      </c>
      <c r="Q6" s="3471">
        <v>1</v>
      </c>
      <c r="R6" s="3836"/>
      <c r="S6" s="3818">
        <f>$J6</f>
      </c>
      <c r="T6" s="3837" t="s">
        <v>422</v>
      </c>
      <c r="U6" s="3819"/>
      <c r="V6" s="3638"/>
      <c r="W6" s="3833"/>
      <c r="X6" s="3833"/>
      <c r="Y6" s="3833"/>
      <c r="Z6" s="3833"/>
      <c r="AA6" s="3833"/>
      <c r="AB6" s="3834"/>
      <c r="AC6" s="3638"/>
      <c r="AD6" s="3833"/>
      <c r="AE6" s="3833"/>
      <c r="AF6" s="3833"/>
      <c r="AG6" s="3833"/>
      <c r="AH6" s="3833"/>
      <c r="AI6" s="3833"/>
      <c r="AJ6" s="3834"/>
      <c r="AK6" s="3883" t="s">
        <v>500</v>
      </c>
      <c r="AN6" s="3479" t="str">
        <f>IF(T6="","",T6)</f>
        <v>Группа потребителей</v>
      </c>
      <c r="AQ6" s="3432">
        <v>0</v>
      </c>
    </row>
    <row customHeight="1" ht="23.25" hidden="1">
      <c r="E7" s="3824"/>
      <c r="F7" s="3824"/>
      <c r="G7" s="3824"/>
      <c r="H7" s="3824"/>
      <c r="I7" s="3835"/>
      <c r="J7" s="3835"/>
      <c r="K7" s="3711">
        <f>J6&amp;".1"</f>
      </c>
      <c r="R7" s="3836">
        <v>1</v>
      </c>
      <c r="S7" s="3818">
        <f>$K7</f>
      </c>
      <c r="T7" s="1033"/>
      <c r="U7" s="3819"/>
      <c r="V7" s="838"/>
      <c r="W7" s="838"/>
      <c r="X7" s="840"/>
      <c r="Y7" s="572"/>
      <c r="Z7" s="210" t="s">
        <v>61</v>
      </c>
      <c r="AA7" s="572"/>
      <c r="AB7" s="210" t="s">
        <v>61</v>
      </c>
      <c r="AC7" s="838"/>
      <c r="AD7" s="838"/>
      <c r="AE7" s="840"/>
      <c r="AF7" s="572"/>
      <c r="AG7" s="210" t="s">
        <v>61</v>
      </c>
      <c r="AH7" s="881"/>
      <c r="AI7" s="210" t="s">
        <v>61</v>
      </c>
      <c r="AJ7" s="1034"/>
      <c r="AK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473">
        <f>STRCHECKDATE(V8:AJ8)</f>
      </c>
      <c r="AN7" s="3479" t="str">
        <f>IF(T7="","",T7)</f>
        <v/>
      </c>
      <c r="AQ7" s="3432">
        <v>0</v>
      </c>
    </row>
    <row customHeight="1" ht="14.25" hidden="1">
      <c r="E8" s="3824"/>
      <c r="F8" s="3824"/>
      <c r="G8" s="3824"/>
      <c r="H8" s="3824"/>
      <c r="I8" s="3835"/>
      <c r="J8" s="3835"/>
      <c r="K8" s="3711"/>
      <c r="R8" s="3836"/>
      <c r="S8" s="421"/>
      <c r="T8" s="3819"/>
      <c r="U8" s="3819"/>
      <c r="V8" s="839"/>
      <c r="W8" s="839"/>
      <c r="X8" s="842" t="str">
        <f>Y7&amp;"-"&amp;AA7</f>
        <v>-</v>
      </c>
      <c r="Y8" s="573"/>
      <c r="Z8" s="210"/>
      <c r="AA8" s="573"/>
      <c r="AB8" s="210"/>
      <c r="AC8" s="839"/>
      <c r="AD8" s="839"/>
      <c r="AE8" s="842" t="str">
        <f>AF7&amp;"-"&amp;AH7</f>
        <v>-</v>
      </c>
      <c r="AF8" s="573"/>
      <c r="AG8" s="210"/>
      <c r="AH8" s="883"/>
      <c r="AI8" s="210"/>
      <c r="AJ8" s="1015"/>
      <c r="AK8" s="3941"/>
      <c r="AN8" s="3479" t="str">
        <f>IF(T8="","",T8)</f>
        <v/>
      </c>
      <c r="AQ8" s="3432">
        <v>0</v>
      </c>
    </row>
    <row customHeight="1" ht="21" hidden="1">
      <c r="E9" s="3824"/>
      <c r="F9" s="3824"/>
      <c r="G9" s="3824"/>
      <c r="H9" s="3824"/>
      <c r="I9" s="3835"/>
      <c r="J9" s="3711"/>
      <c r="R9" s="3831"/>
      <c r="S9" s="844"/>
      <c r="T9" s="848" t="s">
        <v>501</v>
      </c>
      <c r="U9" s="200"/>
      <c r="V9" s="200"/>
      <c r="W9" s="200"/>
      <c r="X9" s="200"/>
      <c r="Y9" s="200"/>
      <c r="Z9" s="200"/>
      <c r="AA9" s="200"/>
      <c r="AB9" s="200"/>
      <c r="AC9" s="200"/>
      <c r="AD9" s="200"/>
      <c r="AE9" s="200"/>
      <c r="AF9" s="200"/>
      <c r="AG9" s="200"/>
      <c r="AH9" s="200"/>
      <c r="AI9" s="200"/>
      <c r="AJ9" s="200"/>
      <c r="AK9" s="3823" t="s">
        <v>502</v>
      </c>
      <c r="AN9" s="3479" t="str">
        <f>IF(T9="","",T9)</f>
        <v>Добавить значение признака дифференциации</v>
      </c>
      <c r="AQ9" s="3432">
        <v>0</v>
      </c>
    </row>
    <row customHeight="1" ht="21" hidden="1">
      <c r="E10" s="3824"/>
      <c r="F10" s="3824"/>
      <c r="G10" s="3824"/>
      <c r="H10" s="3824"/>
      <c r="I10" s="3711"/>
      <c r="R10" s="3831"/>
      <c r="S10" s="844"/>
      <c r="T10" s="851" t="s">
        <v>427</v>
      </c>
      <c r="U10" s="200"/>
      <c r="V10" s="200"/>
      <c r="W10" s="200"/>
      <c r="X10" s="200"/>
      <c r="Y10" s="200"/>
      <c r="Z10" s="200"/>
      <c r="AA10" s="200"/>
      <c r="AB10" s="849"/>
      <c r="AC10" s="200"/>
      <c r="AD10" s="200"/>
      <c r="AE10" s="200"/>
      <c r="AF10" s="200"/>
      <c r="AG10" s="200"/>
      <c r="AH10" s="200"/>
      <c r="AI10" s="849"/>
      <c r="AJ10" s="200"/>
      <c r="AK10" s="1036"/>
      <c r="AN10" s="3479" t="str">
        <f>IF(T10="","",T10)</f>
        <v>Добавить группу потребителей</v>
      </c>
      <c r="AQ10" s="3432">
        <v>0</v>
      </c>
    </row>
    <row customHeight="1" ht="21" hidden="1">
      <c r="E11" s="3824"/>
      <c r="F11" s="3824"/>
      <c r="G11" s="3824"/>
      <c r="H11" s="3817"/>
      <c r="R11" s="816"/>
      <c r="S11" s="844"/>
      <c r="T11" s="994" t="s">
        <v>503</v>
      </c>
      <c r="U11" s="200"/>
      <c r="V11" s="200"/>
      <c r="W11" s="200"/>
      <c r="X11" s="200"/>
      <c r="Y11" s="200"/>
      <c r="Z11" s="200"/>
      <c r="AA11" s="200"/>
      <c r="AB11" s="849"/>
      <c r="AC11" s="200"/>
      <c r="AD11" s="200"/>
      <c r="AE11" s="200"/>
      <c r="AF11" s="200"/>
      <c r="AG11" s="200"/>
      <c r="AH11" s="200"/>
      <c r="AI11" s="849"/>
      <c r="AJ11" s="200"/>
      <c r="AK11" s="850"/>
      <c r="AN11" s="3479" t="str">
        <f>IF(T11="","",T11)</f>
        <v>Добавить наименование признака дифференциации</v>
      </c>
      <c r="AQ11" s="3432">
        <v>0</v>
      </c>
    </row>
    <row customHeight="1" ht="14.25" hidden="1">
      <c r="E12" s="3824"/>
      <c r="F12" s="3817"/>
      <c r="T12" s="856" t="s">
        <v>430</v>
      </c>
      <c r="AN12" s="3479" t="str">
        <f>IF(T12="","",T12)</f>
        <v>Добавить централизованную систему для дифференциации</v>
      </c>
      <c r="AQ12" s="3473">
        <v>0</v>
      </c>
    </row>
    <row customHeight="1" ht="14.25" hidden="1">
      <c r="E13" s="3817"/>
      <c r="T13" s="856" t="s">
        <v>431</v>
      </c>
      <c r="AN13" s="3479" t="str">
        <f>IF(T13="","",T13)</f>
        <v>Добавить территорию для дифференциации</v>
      </c>
      <c r="AQ13" s="3473">
        <v>0</v>
      </c>
    </row>
    <row customHeight="1" ht="14.25" hidden="1">
      <c r="AQ14" s="3432">
        <v>0</v>
      </c>
    </row>
    <row customHeight="1" ht="14.25" hidden="1">
      <c r="AC15" s="719"/>
      <c r="AD15" s="719"/>
      <c r="AE15" s="857"/>
      <c r="AF15" s="858"/>
      <c r="AG15" s="616" t="s">
        <v>61</v>
      </c>
      <c r="AH15" s="858"/>
      <c r="AI15" s="616" t="s">
        <v>61</v>
      </c>
      <c r="AQ15" s="3432">
        <v>0</v>
      </c>
    </row>
    <row customHeight="1" ht="14.25" hidden="1">
      <c r="AC16" s="719"/>
      <c r="AD16" s="719"/>
      <c r="AE16" s="842" t="str">
        <f>AF15&amp;"-"&amp;AH15</f>
        <v>-</v>
      </c>
      <c r="AF16" s="616"/>
      <c r="AG16" s="616"/>
      <c r="AH16" s="616"/>
      <c r="AI16" s="616"/>
      <c r="AQ16" s="3432">
        <v>0</v>
      </c>
    </row>
    <row customHeight="1" ht="14.25" hidden="1">
      <c r="AQ17" s="3432">
        <v>0</v>
      </c>
    </row>
    <row customHeight="1" ht="22.5" hidden="1">
      <c r="O18" s="859" t="s">
        <v>432</v>
      </c>
      <c r="Y18" s="859"/>
      <c r="AA18" s="859"/>
      <c r="AF18" s="859"/>
      <c r="AH18" s="859"/>
      <c r="AQ18" s="3449">
        <v>0</v>
      </c>
    </row>
    <row customHeight="1" ht="14.25" hidden="1">
      <c r="AQ19" s="3449">
        <v>0</v>
      </c>
    </row>
    <row customHeight="1" ht="12" hidden="1">
      <c r="O20" s="3830" t="s">
        <v>433</v>
      </c>
      <c r="T20" s="3449" t="s">
        <v>434</v>
      </c>
      <c r="Z20" s="3511" t="s">
        <v>435</v>
      </c>
      <c r="AB20" s="3511" t="s">
        <v>436</v>
      </c>
      <c r="AC20" s="3449" t="s">
        <v>434</v>
      </c>
      <c r="AG20" s="3511" t="s">
        <v>437</v>
      </c>
      <c r="AI20" s="3511" t="s">
        <v>436</v>
      </c>
      <c r="AQ20" s="3449">
        <v>0</v>
      </c>
    </row>
    <row customHeight="1" ht="14.25" hidden="1">
      <c r="AQ21" s="3432">
        <v>0</v>
      </c>
    </row>
    <row customHeight="1" ht="14.25" hidden="1">
      <c r="AQ22" s="3432">
        <v>0</v>
      </c>
    </row>
    <row customHeight="1" ht="14.699999999999998">
      <c r="Q23" s="3719"/>
      <c r="R23" s="3719"/>
      <c r="S23" s="3842"/>
      <c r="T23" s="3450"/>
      <c r="U23" s="3450"/>
      <c r="AQ23" s="3432">
        <v>14</v>
      </c>
    </row>
    <row customHeight="1" ht="14.699999999999998">
      <c r="Q24" s="3719"/>
      <c r="R24" s="3719"/>
      <c r="S24" s="3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646"/>
      <c r="U24" s="3646"/>
      <c r="V24" s="3646"/>
      <c r="W24" s="3646"/>
      <c r="X24" s="3646"/>
      <c r="Y24" s="3646"/>
      <c r="Z24" s="3646"/>
      <c r="AA24" s="3646"/>
      <c r="AB24" s="3646"/>
      <c r="AC24" s="3646"/>
      <c r="AD24" s="3646"/>
      <c r="AE24" s="3646"/>
      <c r="AF24" s="3646"/>
      <c r="AG24" s="3646"/>
      <c r="AH24" s="3646"/>
      <c r="AQ24" s="3432">
        <v>14</v>
      </c>
    </row>
    <row customHeight="1" ht="14.699999999999998">
      <c r="Q25" s="3719"/>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Q25" s="3432">
        <v>14</v>
      </c>
    </row>
    <row customHeight="1" ht="14.25" hidden="1">
      <c r="Q26" s="3719"/>
      <c r="R26" s="3719"/>
      <c r="S26" s="3842"/>
      <c r="T26" s="3450"/>
      <c r="U26" s="3450"/>
      <c r="V26" s="3804"/>
      <c r="W26" s="3804"/>
      <c r="X26" s="3804"/>
      <c r="Y26" s="3804"/>
      <c r="Z26" s="3804"/>
      <c r="AA26" s="3804"/>
      <c r="AB26" s="3804"/>
      <c r="AC26" s="3804"/>
      <c r="AD26" s="3804"/>
      <c r="AE26" s="3804"/>
      <c r="AF26" s="3804"/>
      <c r="AG26" s="3804"/>
      <c r="AH26" s="3804"/>
      <c r="AI26" s="3804"/>
      <c r="AQ26" s="3432">
        <v>0</v>
      </c>
    </row>
    <row customHeight="1" ht="25.5" hidden="1">
      <c r="S27" s="3843" t="s">
        <v>41</v>
      </c>
      <c r="T27" s="3843"/>
      <c r="U27" s="3844"/>
      <c r="V27" s="3806" t="str">
        <f>IF(TITLE_NAME_OR_PR_CHANGE="",IF(TITLE_NAME_OR_PR="","",TITLE_NAME_OR_PR),TITLE_NAME_OR_PR_CHANGE)</f>
        <v/>
      </c>
      <c r="W27" s="3806"/>
      <c r="X27" s="3806"/>
      <c r="Y27" s="3806"/>
      <c r="Z27" s="3806"/>
      <c r="AA27" s="3806"/>
      <c r="AC27" s="3806" t="str">
        <f>IF(TITLE_NAME_OR_PR_CHANGE="",IF(TITLE_NAME_OR_PR="","",TITLE_NAME_OR_PR),TITLE_NAME_OR_PR_CHANGE)</f>
        <v/>
      </c>
      <c r="AD27" s="3806"/>
      <c r="AE27" s="3806"/>
      <c r="AF27" s="3806"/>
      <c r="AG27" s="3806"/>
      <c r="AH27" s="3806"/>
      <c r="AQ27" s="3489">
        <v>0</v>
      </c>
    </row>
    <row customHeight="1" ht="18.75" hidden="1">
      <c r="S28" s="3843" t="s">
        <v>438</v>
      </c>
      <c r="T28" s="3843"/>
      <c r="U28" s="3844"/>
      <c r="V28" s="795" t="str">
        <f>IF(TITLE_DATE_PR_CHANGE="",IF(TITLE_DATE_PR="","",TITLE_DATE_PR),TITLE_DATE_PR_CHANGE)</f>
        <v/>
      </c>
      <c r="W28" s="795"/>
      <c r="X28" s="795"/>
      <c r="Y28" s="795"/>
      <c r="Z28" s="795"/>
      <c r="AA28" s="795"/>
      <c r="AC28" s="795" t="str">
        <f>IF(TITLE_DATE_PR_CHANGE="",IF(TITLE_DATE_PR="","",TITLE_DATE_PR),TITLE_DATE_PR_CHANGE)</f>
        <v/>
      </c>
      <c r="AD28" s="795"/>
      <c r="AE28" s="795"/>
      <c r="AF28" s="795"/>
      <c r="AG28" s="795"/>
      <c r="AH28" s="795"/>
      <c r="AQ28" s="3489">
        <v>0</v>
      </c>
    </row>
    <row customHeight="1" ht="18.75" hidden="1">
      <c r="S29" s="3843" t="s">
        <v>439</v>
      </c>
      <c r="T29" s="3843"/>
      <c r="U29" s="3844"/>
      <c r="V29" s="3806" t="str">
        <f>IF(TITLE_NUMBER_PR_CHANGE="",IF(TITLE_NUMBER_PR="","",TITLE_NUMBER_PR),TITLE_NUMBER_PR_CHANGE)</f>
        <v/>
      </c>
      <c r="W29" s="3806"/>
      <c r="X29" s="3806"/>
      <c r="Y29" s="3806"/>
      <c r="Z29" s="3806"/>
      <c r="AA29" s="3806"/>
      <c r="AC29" s="3806" t="str">
        <f>IF(TITLE_NUMBER_PR_CHANGE="",IF(TITLE_NUMBER_PR="","",TITLE_NUMBER_PR),TITLE_NUMBER_PR_CHANGE)</f>
        <v/>
      </c>
      <c r="AD29" s="3806"/>
      <c r="AE29" s="3806"/>
      <c r="AF29" s="3806"/>
      <c r="AG29" s="3806"/>
      <c r="AH29" s="3806"/>
      <c r="AQ29" s="3489">
        <v>0</v>
      </c>
    </row>
    <row customHeight="1" ht="18.75" hidden="1">
      <c r="S30" s="3843" t="s">
        <v>42</v>
      </c>
      <c r="T30" s="3843"/>
      <c r="U30" s="3844"/>
      <c r="V30" s="3806" t="str">
        <f>IF(TITLE_IST_PUB_CHANGE="",IF(TITLE_IST_PUB="","",TITLE_IST_PUB),TITLE_IST_PUB_CHANGE)</f>
        <v/>
      </c>
      <c r="W30" s="3806"/>
      <c r="X30" s="3806"/>
      <c r="Y30" s="3806"/>
      <c r="Z30" s="3806"/>
      <c r="AA30" s="3806"/>
      <c r="AC30" s="3806" t="str">
        <f>IF(TITLE_IST_PUB_CHANGE="",IF(TITLE_IST_PUB="","",TITLE_IST_PUB),TITLE_IST_PUB_CHANGE)</f>
        <v/>
      </c>
      <c r="AD30" s="3806"/>
      <c r="AE30" s="3806"/>
      <c r="AF30" s="3806"/>
      <c r="AG30" s="3806"/>
      <c r="AH30" s="3806"/>
      <c r="AQ30" s="3489">
        <v>0</v>
      </c>
    </row>
    <row customHeight="1" ht="14.25" hidden="1">
      <c r="Q31" s="3719"/>
      <c r="R31" s="3719"/>
      <c r="S31" s="3842"/>
      <c r="T31" s="3450"/>
      <c r="U31" s="3450"/>
      <c r="V31" s="3804"/>
      <c r="W31" s="3804"/>
      <c r="X31" s="3804"/>
      <c r="Y31" s="3804"/>
      <c r="Z31" s="3804"/>
      <c r="AA31" s="3804"/>
      <c r="AB31" s="3804"/>
      <c r="AC31" s="3804"/>
      <c r="AD31" s="3804"/>
      <c r="AE31" s="3804"/>
      <c r="AF31" s="3804"/>
      <c r="AG31" s="3804"/>
      <c r="AH31" s="3804"/>
      <c r="AI31" s="3804"/>
      <c r="AQ31" s="3432">
        <v>0</v>
      </c>
    </row>
    <row customHeight="1" ht="18.75" hidden="1">
      <c r="S32" s="3843" t="s">
        <v>440</v>
      </c>
      <c r="T32" s="3843"/>
      <c r="U32" s="3844"/>
      <c r="V32" s="795" t="str">
        <f>IF(TITLE_DATE_PR_CHANGE="",IF(TITLE_DATE_PR="","",TITLE_DATE_PR),TITLE_DATE_PR_CHANGE)</f>
        <v/>
      </c>
      <c r="W32" s="795"/>
      <c r="X32" s="795"/>
      <c r="Y32" s="795"/>
      <c r="Z32" s="795"/>
      <c r="AA32" s="795"/>
      <c r="AC32" s="795" t="str">
        <f>IF(TITLE_DATE_PR_CHANGE="",IF(TITLE_DATE_PR="","",TITLE_DATE_PR),TITLE_DATE_PR_CHANGE)</f>
        <v/>
      </c>
      <c r="AD32" s="795"/>
      <c r="AE32" s="795"/>
      <c r="AF32" s="795"/>
      <c r="AG32" s="795"/>
      <c r="AH32" s="795"/>
      <c r="AQ32" s="3489">
        <v>0</v>
      </c>
    </row>
    <row customHeight="1" ht="18.75" hidden="1">
      <c r="S33" s="3843" t="s">
        <v>441</v>
      </c>
      <c r="T33" s="3843"/>
      <c r="U33" s="3844"/>
      <c r="V33" s="3806" t="str">
        <f>IF(TITLE_NUMBER_PR_CHANGE="",IF(TITLE_NUMBER_PR="","",TITLE_NUMBER_PR),TITLE_NUMBER_PR_CHANGE)</f>
        <v/>
      </c>
      <c r="W33" s="3806"/>
      <c r="X33" s="3806"/>
      <c r="Y33" s="3806"/>
      <c r="Z33" s="3806"/>
      <c r="AA33" s="3806"/>
      <c r="AC33" s="3806" t="str">
        <f>IF(TITLE_NUMBER_PR_CHANGE="",IF(TITLE_NUMBER_PR="","",TITLE_NUMBER_PR),TITLE_NUMBER_PR_CHANGE)</f>
        <v/>
      </c>
      <c r="AD33" s="3806"/>
      <c r="AE33" s="3806"/>
      <c r="AF33" s="3806"/>
      <c r="AG33" s="3806"/>
      <c r="AH33" s="3806"/>
      <c r="AQ33" s="3489">
        <v>0</v>
      </c>
    </row>
    <row customHeight="1" ht="1.05">
      <c r="AB34" s="3473" t="s">
        <v>442</v>
      </c>
      <c r="AI34" s="3473" t="s">
        <v>442</v>
      </c>
      <c r="AQ34" s="3489">
        <v>1</v>
      </c>
    </row>
    <row customHeight="1" ht="14.699999999999998">
      <c r="Q35" s="3719"/>
      <c r="R35" s="3719"/>
      <c r="S35" s="3842"/>
      <c r="T35" s="3450"/>
      <c r="U35" s="3845"/>
      <c r="V35" s="3846"/>
      <c r="W35" s="3846"/>
      <c r="X35" s="3846"/>
      <c r="Y35" s="3846"/>
      <c r="Z35" s="3846"/>
      <c r="AA35" s="3846"/>
      <c r="AB35" s="3846"/>
      <c r="AC35" s="3846"/>
      <c r="AD35" s="3846"/>
      <c r="AE35" s="3846"/>
      <c r="AF35" s="3846"/>
      <c r="AG35" s="3846"/>
      <c r="AH35" s="3846"/>
      <c r="AI35" s="3846"/>
      <c r="AQ35" s="3432">
        <v>14</v>
      </c>
    </row>
    <row customHeight="1" ht="14.699999999999998">
      <c r="Q36" s="3719"/>
      <c r="R36" s="3719"/>
      <c r="S36" s="3480" t="s">
        <v>315</v>
      </c>
      <c r="T36" s="3480"/>
      <c r="U36" s="3480"/>
      <c r="V36" s="3480"/>
      <c r="W36" s="3480"/>
      <c r="X36" s="3480"/>
      <c r="Y36" s="3480"/>
      <c r="Z36" s="3480"/>
      <c r="AA36" s="3480"/>
      <c r="AB36" s="3480"/>
      <c r="AC36" s="3480"/>
      <c r="AD36" s="3480"/>
      <c r="AE36" s="3480"/>
      <c r="AF36" s="3480"/>
      <c r="AG36" s="3480"/>
      <c r="AH36" s="3480"/>
      <c r="AI36" s="3480"/>
      <c r="AJ36" s="3480"/>
      <c r="AK36" s="3480" t="s">
        <v>316</v>
      </c>
      <c r="AQ36" s="3432">
        <v>14</v>
      </c>
    </row>
    <row customHeight="1" ht="14.699999999999998">
      <c r="Q37" s="3719"/>
      <c r="R37" s="3719"/>
      <c r="S37" s="3818" t="s">
        <v>86</v>
      </c>
      <c r="T37" s="3579" t="s">
        <v>443</v>
      </c>
      <c r="U37" s="3793"/>
      <c r="V37" s="3847" t="s">
        <v>444</v>
      </c>
      <c r="W37" s="3848"/>
      <c r="X37" s="3848"/>
      <c r="Y37" s="3848"/>
      <c r="Z37" s="3848"/>
      <c r="AA37" s="3849"/>
      <c r="AB37" s="3807" t="s">
        <v>445</v>
      </c>
      <c r="AC37" s="3847" t="s">
        <v>444</v>
      </c>
      <c r="AD37" s="3848"/>
      <c r="AE37" s="3848"/>
      <c r="AF37" s="3848"/>
      <c r="AG37" s="3848"/>
      <c r="AH37" s="3849"/>
      <c r="AI37" s="3807" t="s">
        <v>446</v>
      </c>
      <c r="AJ37" s="868" t="s">
        <v>447</v>
      </c>
      <c r="AK37" s="3480"/>
      <c r="AQ37" s="3432">
        <v>14</v>
      </c>
    </row>
    <row customHeight="1" ht="35.699999999999996">
      <c r="Q38" s="3719"/>
      <c r="R38" s="3719"/>
      <c r="S38" s="3818"/>
      <c r="T38" s="3579"/>
      <c r="U38" s="3798"/>
      <c r="V38" s="3558" t="s">
        <v>504</v>
      </c>
      <c r="W38" s="3437" t="s">
        <v>450</v>
      </c>
      <c r="X38" s="3436"/>
      <c r="Y38" s="3437" t="s">
        <v>451</v>
      </c>
      <c r="Z38" s="3477"/>
      <c r="AA38" s="3436"/>
      <c r="AB38" s="3851"/>
      <c r="AC38" s="3558" t="s">
        <v>504</v>
      </c>
      <c r="AD38" s="3437" t="s">
        <v>450</v>
      </c>
      <c r="AE38" s="3436"/>
      <c r="AF38" s="3437" t="s">
        <v>451</v>
      </c>
      <c r="AG38" s="3477"/>
      <c r="AH38" s="3436"/>
      <c r="AI38" s="3851"/>
      <c r="AJ38" s="871"/>
      <c r="AK38" s="3480"/>
      <c r="AQ38" s="3432">
        <v>34</v>
      </c>
    </row>
    <row customHeight="1" ht="90.3">
      <c r="B39" s="3511" t="s">
        <v>153</v>
      </c>
      <c r="C39" s="3511" t="s">
        <v>154</v>
      </c>
      <c r="D39" s="3511" t="s">
        <v>155</v>
      </c>
      <c r="E39" s="3830" t="s">
        <v>452</v>
      </c>
      <c r="F39" s="3830" t="s">
        <v>453</v>
      </c>
      <c r="G39" s="3830" t="s">
        <v>454</v>
      </c>
      <c r="I39" s="3830" t="s">
        <v>505</v>
      </c>
      <c r="J39" s="3830" t="s">
        <v>457</v>
      </c>
      <c r="K39" s="3830" t="s">
        <v>506</v>
      </c>
      <c r="L39" s="3830" t="s">
        <v>433</v>
      </c>
      <c r="Q39" s="3719"/>
      <c r="R39" s="3719"/>
      <c r="S39" s="3818"/>
      <c r="T39" s="3579"/>
      <c r="U39" s="3852"/>
      <c r="V39" s="3558" t="s">
        <v>533</v>
      </c>
      <c r="W39" s="3525" t="s">
        <v>534</v>
      </c>
      <c r="X39" s="3525" t="s">
        <v>509</v>
      </c>
      <c r="Y39" s="3525" t="s">
        <v>461</v>
      </c>
      <c r="Z39" s="3626" t="s">
        <v>462</v>
      </c>
      <c r="AA39" s="3628"/>
      <c r="AB39" s="3810"/>
      <c r="AC39" s="3558" t="s">
        <v>533</v>
      </c>
      <c r="AD39" s="3525" t="s">
        <v>534</v>
      </c>
      <c r="AE39" s="3525" t="s">
        <v>509</v>
      </c>
      <c r="AF39" s="3525" t="s">
        <v>461</v>
      </c>
      <c r="AG39" s="3626" t="s">
        <v>462</v>
      </c>
      <c r="AH39" s="3628"/>
      <c r="AI39" s="3810"/>
      <c r="AJ39" s="873"/>
      <c r="AK39" s="3480"/>
      <c r="AQ39" s="3432">
        <v>86</v>
      </c>
    </row>
    <row customHeight="1" ht="0">
      <c r="Q40" s="3853"/>
      <c r="R40" s="3854">
        <v>1</v>
      </c>
      <c r="S40" s="876" t="s">
        <v>107</v>
      </c>
      <c r="T40" s="877" t="s">
        <v>108</v>
      </c>
      <c r="U40" s="3855" t="str">
        <f>OFFSET(U40,0,-1)</f>
        <v>2</v>
      </c>
      <c r="V40" s="3856">
        <f>OFFSET(V40,0,-1)+1</f>
        <v>3</v>
      </c>
      <c r="W40" s="3856">
        <f>OFFSET(W40,0,-1)+1</f>
        <v>4</v>
      </c>
      <c r="X40" s="3856">
        <f>OFFSET(X40,0,-1)+1</f>
        <v>5</v>
      </c>
      <c r="Y40" s="3856">
        <f>OFFSET(Y40,0,-1)+1</f>
        <v>6</v>
      </c>
      <c r="Z40" s="3856">
        <f>OFFSET(Z40,0,-1)+1</f>
        <v>7</v>
      </c>
      <c r="AA40" s="3856"/>
      <c r="AB40" s="3856">
        <f>OFFSET(AB40,0,-2)+1</f>
        <v>8</v>
      </c>
      <c r="AC40" s="3856">
        <f>OFFSET(AC40,0,-1)+1</f>
        <v>9</v>
      </c>
      <c r="AD40" s="3856">
        <f>OFFSET(AD40,0,-1)+1</f>
        <v>10</v>
      </c>
      <c r="AE40" s="3856">
        <f>OFFSET(AE40,0,-1)+1</f>
        <v>11</v>
      </c>
      <c r="AF40" s="3856">
        <f>OFFSET(AF40,0,-1)+1</f>
        <v>12</v>
      </c>
      <c r="AG40" s="3856">
        <f>OFFSET(AG40,0,-1)+1</f>
        <v>13</v>
      </c>
      <c r="AH40" s="3856"/>
      <c r="AI40" s="3856">
        <f>OFFSET(AI40,0,-2)+1</f>
        <v>14</v>
      </c>
      <c r="AJ40" s="3855">
        <f>OFFSET(AJ40,0,-1)</f>
        <v>14</v>
      </c>
      <c r="AK40" s="3856">
        <f>OFFSET(AK40,0,-1)+1</f>
        <v>15</v>
      </c>
      <c r="AQ40" s="3637">
        <v>0</v>
      </c>
    </row>
    <row customHeight="1" ht="24">
      <c r="A41" s="3857" t="s">
        <v>286</v>
      </c>
      <c r="E41" s="3817">
        <v>1</v>
      </c>
      <c r="R41" s="816"/>
      <c r="S41" s="3818">
        <f>INDEX(PT_DIFFERENTIATION_NUM_NTAR,MATCH(A41,PT_DIFFERENTIATION_NTAR_ID,0))</f>
        <v>0</v>
      </c>
      <c r="T41" s="3764" t="s">
        <v>141</v>
      </c>
      <c r="U41" s="3819"/>
      <c r="V41" s="3820"/>
      <c r="W41" s="3821"/>
      <c r="X41" s="3821"/>
      <c r="Y41" s="3821"/>
      <c r="Z41" s="3821"/>
      <c r="AA41" s="3821"/>
      <c r="AB41" s="3822"/>
      <c r="AC41" s="3820" t="str">
        <f>INDEX(PT_DIFFERENTIATION_NTAR,MATCH(A41,PT_DIFFERENTIATION_NTAR_ID,0))</f>
        <v/>
      </c>
      <c r="AD41" s="3821"/>
      <c r="AE41" s="3821"/>
      <c r="AF41" s="3821"/>
      <c r="AG41" s="3821"/>
      <c r="AH41" s="3821"/>
      <c r="AI41" s="3821"/>
      <c r="AJ41" s="3822"/>
      <c r="AK41"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3479" t="str">
        <f>IF(T41="","",T41)</f>
        <v>Наименование тарифа</v>
      </c>
      <c r="AQ41" s="3432">
        <v>23</v>
      </c>
    </row>
    <row customHeight="1" ht="24">
      <c r="A42" s="3857" t="s">
        <v>286</v>
      </c>
      <c r="B42" s="3857" t="s">
        <v>287</v>
      </c>
      <c r="E42" s="3824"/>
      <c r="F42" s="3817">
        <v>1</v>
      </c>
      <c r="Q42" s="3825"/>
      <c r="R42" s="3826"/>
      <c r="S42" s="3818" t="str">
        <f>INDEX(PT_DIFFERENTIATION_NUM_TER,MATCH(B42,PT_DIFFERENTIATION_TER_ID,0))</f>
        <v>.</v>
      </c>
      <c r="T42" s="3827" t="s">
        <v>412</v>
      </c>
      <c r="U42" s="3819"/>
      <c r="V42" s="3820"/>
      <c r="W42" s="3821"/>
      <c r="X42" s="3821"/>
      <c r="Y42" s="3821"/>
      <c r="Z42" s="3821"/>
      <c r="AA42" s="3821"/>
      <c r="AB42" s="3822"/>
      <c r="AC42" s="3820" t="str">
        <f>INDEX(PT_DIFFERENTIATION_TER,MATCH(B42,PT_DIFFERENTIATION_TER_ID,0))</f>
        <v/>
      </c>
      <c r="AD42" s="3821"/>
      <c r="AE42" s="3821"/>
      <c r="AF42" s="3821"/>
      <c r="AG42" s="3821"/>
      <c r="AH42" s="3821"/>
      <c r="AI42" s="3821"/>
      <c r="AJ42" s="3822"/>
      <c r="AK42" s="3823" t="s">
        <v>413</v>
      </c>
      <c r="AN42" s="3479" t="str">
        <f>IF(T42="","",T42)</f>
        <v>Территория действия тарифа</v>
      </c>
      <c r="AQ42" s="3432">
        <v>23</v>
      </c>
    </row>
    <row customHeight="1" ht="24">
      <c r="A43" s="3857" t="s">
        <v>286</v>
      </c>
      <c r="B43" s="3857" t="s">
        <v>287</v>
      </c>
      <c r="C43" s="3857" t="s">
        <v>288</v>
      </c>
      <c r="E43" s="3824"/>
      <c r="F43" s="3824"/>
      <c r="G43" s="3817">
        <v>1</v>
      </c>
      <c r="Q43" s="3825"/>
      <c r="R43" s="3826"/>
      <c r="S43" s="3818" t="str">
        <f>INDEX(PT_DIFFERENTIATION_NUM_CS,MATCH(C43,PT_DIFFERENTIATION_CS_ID,0))</f>
        <v>..</v>
      </c>
      <c r="T43" s="3828" t="s">
        <v>531</v>
      </c>
      <c r="U43" s="3819"/>
      <c r="V43" s="3820"/>
      <c r="W43" s="3821"/>
      <c r="X43" s="3821"/>
      <c r="Y43" s="3821"/>
      <c r="Z43" s="3821"/>
      <c r="AA43" s="3821"/>
      <c r="AB43" s="3822"/>
      <c r="AC43" s="3820" t="str">
        <f>INDEX(PT_DIFFERENTIATION_CS,MATCH(C43,PT_DIFFERENTIATION_CS_ID,0))</f>
        <v/>
      </c>
      <c r="AD43" s="3821"/>
      <c r="AE43" s="3821"/>
      <c r="AF43" s="3821"/>
      <c r="AG43" s="3821"/>
      <c r="AH43" s="3821"/>
      <c r="AI43" s="3821"/>
      <c r="AJ43" s="3822"/>
      <c r="AK43" s="3823" t="s">
        <v>532</v>
      </c>
      <c r="AN43" s="3479" t="str">
        <f>IF(T43="","",T43)</f>
        <v>Наименование централизованной системы водоотведения</v>
      </c>
      <c r="AQ43" s="3432">
        <v>23</v>
      </c>
    </row>
    <row customHeight="1" ht="24">
      <c r="A44" s="3857" t="s">
        <v>286</v>
      </c>
      <c r="B44" s="3857" t="s">
        <v>287</v>
      </c>
      <c r="C44" s="3857" t="s">
        <v>288</v>
      </c>
      <c r="D44" s="3857" t="s">
        <v>536</v>
      </c>
      <c r="E44" s="3824"/>
      <c r="F44" s="3824"/>
      <c r="G44" s="3824"/>
      <c r="H44" s="3824"/>
      <c r="I44" s="3711" t="str">
        <f>S43&amp;".1"</f>
        <v>...1</v>
      </c>
      <c r="P44" s="3471">
        <v>1</v>
      </c>
      <c r="R44" s="3831"/>
      <c r="S44" s="3818" t="str">
        <f>$I44</f>
        <v>...1</v>
      </c>
      <c r="T44" s="3832" t="s">
        <v>498</v>
      </c>
      <c r="U44" s="3819"/>
      <c r="V44" s="3938"/>
      <c r="W44" s="3939"/>
      <c r="X44" s="3939"/>
      <c r="Y44" s="3939"/>
      <c r="Z44" s="3939"/>
      <c r="AA44" s="3939"/>
      <c r="AB44" s="3940"/>
      <c r="AC44" s="1018"/>
      <c r="AD44" s="1031"/>
      <c r="AE44" s="1031"/>
      <c r="AF44" s="1031"/>
      <c r="AG44" s="1031"/>
      <c r="AH44" s="1031"/>
      <c r="AI44" s="1031"/>
      <c r="AJ44" s="1032"/>
      <c r="AK44" s="3823" t="s">
        <v>499</v>
      </c>
      <c r="AN44" s="3479" t="str">
        <f>IF(T44="","",T44)</f>
        <v>Наименование признака дифференциации</v>
      </c>
      <c r="AQ44" s="3432">
        <v>23</v>
      </c>
    </row>
    <row customHeight="1" ht="24">
      <c r="A45" s="3857" t="s">
        <v>286</v>
      </c>
      <c r="B45" s="3857" t="s">
        <v>287</v>
      </c>
      <c r="C45" s="3857" t="s">
        <v>288</v>
      </c>
      <c r="D45" s="3857" t="s">
        <v>536</v>
      </c>
      <c r="E45" s="3824"/>
      <c r="F45" s="3824"/>
      <c r="G45" s="3824"/>
      <c r="H45" s="3824"/>
      <c r="I45" s="3835"/>
      <c r="J45" s="3711" t="str">
        <f>I44&amp;".1"</f>
        <v>...1.1</v>
      </c>
      <c r="L45" s="3830" t="s">
        <v>421</v>
      </c>
      <c r="Q45" s="3471">
        <v>1</v>
      </c>
      <c r="R45" s="3836"/>
      <c r="S45" s="3818" t="str">
        <f>$J45</f>
        <v>...1.1</v>
      </c>
      <c r="T45" s="3837" t="s">
        <v>422</v>
      </c>
      <c r="U45" s="3819"/>
      <c r="V45" s="3638"/>
      <c r="W45" s="3833"/>
      <c r="X45" s="3833"/>
      <c r="Y45" s="3833"/>
      <c r="Z45" s="3833"/>
      <c r="AA45" s="3833"/>
      <c r="AB45" s="3834"/>
      <c r="AC45" s="3638"/>
      <c r="AD45" s="3833"/>
      <c r="AE45" s="3833"/>
      <c r="AF45" s="3833"/>
      <c r="AG45" s="3833"/>
      <c r="AH45" s="3833"/>
      <c r="AI45" s="3833"/>
      <c r="AJ45" s="3834"/>
      <c r="AK45" s="3883" t="s">
        <v>500</v>
      </c>
      <c r="AN45" s="3479" t="str">
        <f>IF(T45="","",T45)</f>
        <v>Группа потребителей</v>
      </c>
      <c r="AQ45" s="3432">
        <v>23</v>
      </c>
    </row>
    <row customHeight="1" ht="24">
      <c r="A46" s="3857" t="s">
        <v>286</v>
      </c>
      <c r="B46" s="3857" t="s">
        <v>287</v>
      </c>
      <c r="C46" s="3857" t="s">
        <v>288</v>
      </c>
      <c r="D46" s="3857" t="s">
        <v>536</v>
      </c>
      <c r="E46" s="3824"/>
      <c r="F46" s="3824"/>
      <c r="G46" s="3824"/>
      <c r="H46" s="3824"/>
      <c r="I46" s="3835"/>
      <c r="J46" s="3835"/>
      <c r="K46" s="3711" t="str">
        <f>J45&amp;".1"</f>
        <v>...1.1.1</v>
      </c>
      <c r="R46" s="3836">
        <v>1</v>
      </c>
      <c r="S46" s="3818" t="str">
        <f>$K46</f>
        <v>...1.1.1</v>
      </c>
      <c r="T46" s="1033"/>
      <c r="U46" s="3819"/>
      <c r="V46" s="719"/>
      <c r="W46" s="719"/>
      <c r="X46" s="857"/>
      <c r="Y46" s="858"/>
      <c r="Z46" s="616" t="s">
        <v>61</v>
      </c>
      <c r="AA46" s="858"/>
      <c r="AB46" s="616" t="s">
        <v>61</v>
      </c>
      <c r="AC46" s="838"/>
      <c r="AD46" s="838"/>
      <c r="AE46" s="840"/>
      <c r="AF46" s="572"/>
      <c r="AG46" s="210" t="s">
        <v>61</v>
      </c>
      <c r="AH46" s="881"/>
      <c r="AI46" s="210" t="s">
        <v>19</v>
      </c>
      <c r="AJ46" s="1034"/>
      <c r="AK46"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473">
        <f>STRCHECKDATE(V47:AJ47)</f>
      </c>
      <c r="AN46" s="3479" t="str">
        <f>IF(T46="","",T46)</f>
        <v/>
      </c>
      <c r="AQ46" s="3432">
        <v>23</v>
      </c>
    </row>
    <row customHeight="1" ht="0">
      <c r="A47" s="3857" t="s">
        <v>286</v>
      </c>
      <c r="B47" s="3857" t="s">
        <v>287</v>
      </c>
      <c r="C47" s="3857" t="s">
        <v>288</v>
      </c>
      <c r="D47" s="3857" t="s">
        <v>536</v>
      </c>
      <c r="E47" s="3824"/>
      <c r="F47" s="3824"/>
      <c r="G47" s="3824"/>
      <c r="H47" s="3824"/>
      <c r="I47" s="3835"/>
      <c r="J47" s="3835"/>
      <c r="K47" s="3711"/>
      <c r="R47" s="3836"/>
      <c r="S47" s="421"/>
      <c r="T47" s="3819"/>
      <c r="U47" s="3819"/>
      <c r="V47" s="719"/>
      <c r="W47" s="719"/>
      <c r="X47" s="842" t="str">
        <f>Y46&amp;"-"&amp;AA46</f>
        <v>-</v>
      </c>
      <c r="Y47" s="616"/>
      <c r="Z47" s="616"/>
      <c r="AA47" s="616"/>
      <c r="AB47" s="616"/>
      <c r="AC47" s="839"/>
      <c r="AD47" s="839"/>
      <c r="AE47" s="842" t="str">
        <f>AF46&amp;"-"&amp;AH46</f>
        <v>-</v>
      </c>
      <c r="AF47" s="573"/>
      <c r="AG47" s="210"/>
      <c r="AH47" s="883"/>
      <c r="AI47" s="210"/>
      <c r="AJ47" s="1015"/>
      <c r="AK47" s="3941"/>
      <c r="AN47" s="3479" t="str">
        <f>IF(T47="","",T47)</f>
        <v/>
      </c>
      <c r="AQ47" s="3432">
        <v>0</v>
      </c>
    </row>
    <row customHeight="1" ht="21">
      <c r="A48" s="3857" t="s">
        <v>286</v>
      </c>
      <c r="B48" s="3857" t="s">
        <v>287</v>
      </c>
      <c r="C48" s="3857" t="s">
        <v>288</v>
      </c>
      <c r="D48" s="3857" t="s">
        <v>536</v>
      </c>
      <c r="E48" s="3824"/>
      <c r="F48" s="3824"/>
      <c r="G48" s="3824"/>
      <c r="H48" s="3824"/>
      <c r="I48" s="3835"/>
      <c r="J48" s="3711"/>
      <c r="R48" s="3831"/>
      <c r="S48" s="844"/>
      <c r="T48" s="848" t="s">
        <v>501</v>
      </c>
      <c r="U48" s="200"/>
      <c r="V48" s="200"/>
      <c r="W48" s="200"/>
      <c r="X48" s="200"/>
      <c r="Y48" s="200"/>
      <c r="Z48" s="200"/>
      <c r="AA48" s="200"/>
      <c r="AB48" s="200"/>
      <c r="AC48" s="200"/>
      <c r="AD48" s="200"/>
      <c r="AE48" s="200"/>
      <c r="AF48" s="200"/>
      <c r="AG48" s="200"/>
      <c r="AH48" s="200"/>
      <c r="AI48" s="200"/>
      <c r="AJ48" s="200"/>
      <c r="AK48" s="3823" t="s">
        <v>502</v>
      </c>
      <c r="AN48" s="3479" t="str">
        <f>IF(T48="","",T48)</f>
        <v>Добавить значение признака дифференциации</v>
      </c>
      <c r="AQ48" s="3432">
        <v>20</v>
      </c>
    </row>
    <row customHeight="1" ht="22.049999999999997">
      <c r="A49" s="3857" t="s">
        <v>286</v>
      </c>
      <c r="B49" s="3857" t="s">
        <v>287</v>
      </c>
      <c r="C49" s="3857" t="s">
        <v>288</v>
      </c>
      <c r="D49" s="3857" t="s">
        <v>536</v>
      </c>
      <c r="E49" s="3824"/>
      <c r="F49" s="3824"/>
      <c r="G49" s="3824"/>
      <c r="H49" s="3824"/>
      <c r="I49" s="3711"/>
      <c r="R49" s="3831"/>
      <c r="S49" s="844"/>
      <c r="T49" s="851" t="s">
        <v>427</v>
      </c>
      <c r="U49" s="200"/>
      <c r="V49" s="200"/>
      <c r="W49" s="200"/>
      <c r="X49" s="200"/>
      <c r="Y49" s="200"/>
      <c r="Z49" s="200"/>
      <c r="AA49" s="200"/>
      <c r="AB49" s="849"/>
      <c r="AC49" s="200"/>
      <c r="AD49" s="200"/>
      <c r="AE49" s="200"/>
      <c r="AF49" s="200"/>
      <c r="AG49" s="200"/>
      <c r="AH49" s="200"/>
      <c r="AI49" s="849"/>
      <c r="AJ49" s="200"/>
      <c r="AK49" s="1036"/>
      <c r="AN49" s="3479" t="str">
        <f>IF(T49="","",T49)</f>
        <v>Добавить группу потребителей</v>
      </c>
      <c r="AQ49" s="3432">
        <v>21</v>
      </c>
    </row>
    <row customHeight="1" ht="22.049999999999997">
      <c r="A50" s="3857" t="s">
        <v>286</v>
      </c>
      <c r="B50" s="3857" t="s">
        <v>287</v>
      </c>
      <c r="C50" s="3857" t="s">
        <v>288</v>
      </c>
      <c r="D50" s="3857" t="s">
        <v>536</v>
      </c>
      <c r="E50" s="3824"/>
      <c r="F50" s="3824"/>
      <c r="G50" s="3824"/>
      <c r="H50" s="3817"/>
      <c r="R50" s="816"/>
      <c r="S50" s="844"/>
      <c r="T50" s="994" t="s">
        <v>503</v>
      </c>
      <c r="U50" s="200"/>
      <c r="V50" s="200"/>
      <c r="W50" s="200"/>
      <c r="X50" s="200"/>
      <c r="Y50" s="200"/>
      <c r="Z50" s="200"/>
      <c r="AA50" s="200"/>
      <c r="AB50" s="849"/>
      <c r="AC50" s="200"/>
      <c r="AD50" s="200"/>
      <c r="AE50" s="200"/>
      <c r="AF50" s="200"/>
      <c r="AG50" s="200"/>
      <c r="AH50" s="200"/>
      <c r="AI50" s="849"/>
      <c r="AJ50" s="200"/>
      <c r="AK50" s="850"/>
      <c r="AN50" s="3479" t="str">
        <f>IF(T50="","",T50)</f>
        <v>Добавить наименование признака дифференциации</v>
      </c>
      <c r="AQ50" s="3432">
        <v>21</v>
      </c>
    </row>
    <row customHeight="1" ht="0">
      <c r="A51" s="3470" t="s">
        <v>286</v>
      </c>
      <c r="B51" s="3470" t="s">
        <v>287</v>
      </c>
      <c r="E51" s="3824"/>
      <c r="F51" s="3817"/>
      <c r="T51" s="856" t="s">
        <v>430</v>
      </c>
      <c r="AN51" s="3479" t="str">
        <f>IF(T51="","",T51)</f>
        <v>Добавить централизованную систему для дифференциации</v>
      </c>
      <c r="AQ51" s="3473">
        <v>0</v>
      </c>
    </row>
    <row customHeight="1" ht="0">
      <c r="A52" s="3470" t="s">
        <v>286</v>
      </c>
      <c r="E52" s="3817"/>
      <c r="T52" s="856" t="s">
        <v>431</v>
      </c>
      <c r="AN52" s="3479" t="str">
        <f>IF(T52="","",T52)</f>
        <v>Добавить территорию для дифференциации</v>
      </c>
      <c r="AQ52" s="3473">
        <v>0</v>
      </c>
    </row>
    <row customHeight="1" ht="0">
      <c r="T53" s="856" t="s">
        <v>463</v>
      </c>
      <c r="AN53" s="3479" t="str">
        <f>IF(T53="","",T53)</f>
        <v>Добавить наименование тарифа</v>
      </c>
      <c r="AQ53" s="3473">
        <v>0</v>
      </c>
    </row>
    <row customHeight="1" ht="11.549999999999999">
      <c r="AQ54" s="3432">
        <v>11</v>
      </c>
    </row>
    <row customHeight="1" ht="14.699999999999998">
      <c r="AQ55" s="3432">
        <v>14</v>
      </c>
    </row>
    <row customHeight="1" ht="14.699999999999998">
      <c r="AQ56" s="3432">
        <v>14</v>
      </c>
    </row>
    <row customHeight="1" ht="14.699999999999998">
      <c r="AQ57" s="3432">
        <v>14</v>
      </c>
    </row>
    <row customHeight="1" ht="22.5" hidden="1">
      <c r="A58" s="3449" t="s">
        <v>80</v>
      </c>
      <c r="B58" s="3449">
        <v>0</v>
      </c>
      <c r="C58" s="3449">
        <v>0</v>
      </c>
      <c r="D58" s="3449">
        <v>0</v>
      </c>
      <c r="E58" s="3449">
        <v>0</v>
      </c>
      <c r="F58" s="3449">
        <v>0</v>
      </c>
      <c r="G58" s="3449">
        <v>0</v>
      </c>
      <c r="H58" s="3449">
        <v>0</v>
      </c>
      <c r="I58" s="3449">
        <v>0</v>
      </c>
      <c r="J58" s="3449">
        <v>0</v>
      </c>
      <c r="K58" s="3449">
        <v>0</v>
      </c>
      <c r="L58" s="3618">
        <v>0</v>
      </c>
      <c r="M58" s="105">
        <v>0</v>
      </c>
      <c r="N58" s="105">
        <v>0</v>
      </c>
      <c r="O58" s="105">
        <v>0</v>
      </c>
      <c r="P58" s="782">
        <v>3</v>
      </c>
      <c r="Q58" s="3797">
        <v>3</v>
      </c>
      <c r="R58" s="3797">
        <v>3</v>
      </c>
      <c r="S58" s="3447">
        <v>12</v>
      </c>
      <c r="T58" s="3432">
        <v>35</v>
      </c>
      <c r="U58" s="3432">
        <v>0</v>
      </c>
      <c r="V58" s="3432">
        <v>0</v>
      </c>
      <c r="W58" s="3432">
        <v>0</v>
      </c>
      <c r="X58" s="3432">
        <v>0</v>
      </c>
      <c r="Y58" s="3432">
        <v>0</v>
      </c>
      <c r="Z58" s="3432">
        <v>0</v>
      </c>
      <c r="AA58" s="3432">
        <v>0</v>
      </c>
      <c r="AB58" s="3432">
        <v>0</v>
      </c>
      <c r="AC58" s="3432">
        <v>24</v>
      </c>
      <c r="AD58" s="3432">
        <v>24</v>
      </c>
      <c r="AE58" s="3432">
        <v>24</v>
      </c>
      <c r="AF58" s="3432">
        <v>11</v>
      </c>
      <c r="AG58" s="3432">
        <v>3</v>
      </c>
      <c r="AH58" s="3432">
        <v>11</v>
      </c>
      <c r="AI58" s="3432">
        <v>0</v>
      </c>
      <c r="AJ58" s="3432">
        <v>4</v>
      </c>
      <c r="AK58" s="3432">
        <v>115</v>
      </c>
      <c r="AL58" s="3473">
        <v>10</v>
      </c>
      <c r="AM58" s="3473">
        <v>10</v>
      </c>
      <c r="AN58" s="3473">
        <v>10</v>
      </c>
      <c r="AO58" s="3473">
        <v>10</v>
      </c>
      <c r="AP58" s="3473">
        <v>10</v>
      </c>
      <c r="AQ58" s="343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619D3-E1AB-6108-312A-443E39B281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348" width="11.57421875" hidden="1" customWidth="1"/>
    <col min="2" max="2" style="7348" width="11.00390625" hidden="1" customWidth="1"/>
    <col min="3" max="3" style="7348" width="10.57421875" hidden="1"/>
    <col min="4" max="4" style="7348" width="12.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7" style="7348" width="3.7109375" hidden="1" customWidth="1"/>
    <col min="18" max="18" style="7348" width="3.00390625" customWidth="1"/>
    <col min="19" max="19" style="7348" width="12.00390625" customWidth="1"/>
    <col min="20" max="20" style="7348" width="31.00390625" customWidth="1"/>
    <col min="21" max="21" style="7348" width="0.140625" customWidth="1"/>
    <col min="22" max="25" style="7348" width="21.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3.7109375" customWidth="1"/>
    <col min="31" max="32" style="7348" width="3.00390625" customWidth="1"/>
    <col min="33" max="33" style="7348" width="24.00390625" customWidth="1"/>
    <col min="34" max="34" style="7348" width="3.7109375" customWidth="1"/>
    <col min="35" max="36" style="7348" width="3.00390625" customWidth="1"/>
    <col min="37" max="37" style="7348" width="24.00390625" customWidth="1"/>
    <col min="38" max="38" style="7348" width="3.7109375" customWidth="1"/>
    <col min="39" max="40" style="7348" width="3.00390625" customWidth="1"/>
    <col min="41" max="41" style="7348" width="18.00390625" customWidth="1"/>
    <col min="42" max="42" style="7348" width="3.7109375" customWidth="1"/>
    <col min="43" max="44" style="7348" width="3.00390625" customWidth="1"/>
    <col min="45" max="45" style="7348" width="18.00390625" customWidth="1"/>
    <col min="46" max="49" style="7348" width="21.00390625" customWidth="1"/>
    <col min="50" max="50" style="7348" width="11.00390625" customWidth="1"/>
    <col min="51" max="51" style="7348" width="3.7109375" customWidth="1"/>
    <col min="52" max="52" style="7348" width="11.00390625" customWidth="1"/>
    <col min="53" max="53" style="7348" width="8.57421875" hidden="1" customWidth="1"/>
    <col min="54" max="54" style="7348" width="4.00390625" customWidth="1"/>
    <col min="55" max="55" style="7348" width="115.00390625" customWidth="1"/>
    <col min="56" max="60" style="7348" width="10.00390625" customWidth="1"/>
    <col min="61" max="61" style="7348" width="10.57421875" hidden="1"/>
  </cols>
  <sheetData>
    <row customHeight="1" ht="22.5" hidden="1">
      <c r="BI1" s="3432" t="s">
        <v>14</v>
      </c>
    </row>
    <row customHeight="1" ht="21" hidden="1">
      <c r="E2" s="3817">
        <v>1</v>
      </c>
      <c r="R2" s="816"/>
      <c r="S2" s="3818">
        <f>INDEX(PT_DIFFERENTIATION_NUM_NTAR,MATCH(A2,PT_DIFFERENTIATION_NTAR_ID,0))</f>
      </c>
      <c r="T2" s="3764" t="s">
        <v>141</v>
      </c>
      <c r="U2" s="3819"/>
      <c r="V2" s="3821"/>
      <c r="W2" s="3821"/>
      <c r="X2" s="3821"/>
      <c r="Y2" s="3821"/>
      <c r="Z2" s="3821"/>
      <c r="AA2" s="3821"/>
      <c r="AB2" s="3821"/>
      <c r="AC2" s="3822"/>
      <c r="AD2" s="3820">
        <f>INDEX(PT_DIFFERENTIATION_NTAR,MATCH(A2,PT_DIFFERENTIATION_NTAR_ID,0))</f>
      </c>
      <c r="AE2" s="3821"/>
      <c r="AF2" s="3821"/>
      <c r="AG2" s="3821"/>
      <c r="AH2" s="3821"/>
      <c r="AI2" s="3821"/>
      <c r="AJ2" s="3821"/>
      <c r="AK2" s="3821"/>
      <c r="AL2" s="3821"/>
      <c r="AM2" s="3821"/>
      <c r="AN2" s="3821"/>
      <c r="AO2" s="3821"/>
      <c r="AP2" s="3821"/>
      <c r="AQ2" s="3821"/>
      <c r="AR2" s="3821"/>
      <c r="AS2" s="3821"/>
      <c r="AT2" s="3821"/>
      <c r="AU2" s="3821"/>
      <c r="AV2" s="3821"/>
      <c r="AW2" s="3821"/>
      <c r="AX2" s="3821"/>
      <c r="AY2" s="3821"/>
      <c r="AZ2" s="3821"/>
      <c r="BA2" s="3821"/>
      <c r="BB2" s="3822"/>
      <c r="BC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3479" t="str">
        <f>IF(T2="","",T2)</f>
        <v>Наименование тарифа</v>
      </c>
      <c r="BI2" s="3432">
        <v>0</v>
      </c>
    </row>
    <row customHeight="1" ht="21" hidden="1">
      <c r="E3" s="3824"/>
      <c r="F3" s="3817">
        <v>1</v>
      </c>
      <c r="Q3" s="3890"/>
      <c r="R3" s="3826"/>
      <c r="S3" s="3818">
        <f>INDEX(PT_DIFFERENTIATION_NUM_TER,MATCH(B3,PT_DIFFERENTIATION_TER_ID,0))</f>
      </c>
      <c r="T3" s="3827" t="s">
        <v>412</v>
      </c>
      <c r="U3" s="3819"/>
      <c r="V3" s="3821"/>
      <c r="W3" s="3821"/>
      <c r="X3" s="3821"/>
      <c r="Y3" s="3821"/>
      <c r="Z3" s="3821"/>
      <c r="AA3" s="3821"/>
      <c r="AB3" s="3821"/>
      <c r="AC3" s="3822"/>
      <c r="AD3" s="3820">
        <f>INDEX(PT_DIFFERENTIATION_TER,MATCH(B3,PT_DIFFERENTIATION_TER_ID,0))</f>
      </c>
      <c r="AE3" s="3821"/>
      <c r="AF3" s="3821"/>
      <c r="AG3" s="3821"/>
      <c r="AH3" s="3821"/>
      <c r="AI3" s="3821"/>
      <c r="AJ3" s="3821"/>
      <c r="AK3" s="3821"/>
      <c r="AL3" s="3821"/>
      <c r="AM3" s="3821"/>
      <c r="AN3" s="3821"/>
      <c r="AO3" s="3821"/>
      <c r="AP3" s="3821"/>
      <c r="AQ3" s="3821"/>
      <c r="AR3" s="3821"/>
      <c r="AS3" s="3821"/>
      <c r="AT3" s="3821"/>
      <c r="AU3" s="3821"/>
      <c r="AV3" s="3821"/>
      <c r="AW3" s="3821"/>
      <c r="AX3" s="3821"/>
      <c r="AY3" s="3821"/>
      <c r="AZ3" s="3821"/>
      <c r="BA3" s="3821"/>
      <c r="BB3" s="3822"/>
      <c r="BC3" s="3823" t="s">
        <v>413</v>
      </c>
      <c r="BF3" s="3479" t="str">
        <f>IF(T3="","",T3)</f>
        <v>Территория действия тарифа</v>
      </c>
      <c r="BI3" s="3432">
        <v>0</v>
      </c>
    </row>
    <row customHeight="1" ht="33.75" hidden="1">
      <c r="E4" s="3824"/>
      <c r="F4" s="3824"/>
      <c r="G4" s="3817">
        <v>1</v>
      </c>
      <c r="Q4" s="3890"/>
      <c r="R4" s="3826"/>
      <c r="S4" s="3818">
        <f>INDEX(PT_DIFFERENTIATION_NUM_CS,MATCH(C4,PT_DIFFERENTIATION_CS_ID,0))</f>
      </c>
      <c r="T4" s="3828" t="s">
        <v>531</v>
      </c>
      <c r="U4" s="3819"/>
      <c r="V4" s="3821"/>
      <c r="W4" s="3821"/>
      <c r="X4" s="3821"/>
      <c r="Y4" s="3821"/>
      <c r="Z4" s="3821"/>
      <c r="AA4" s="3821"/>
      <c r="AB4" s="3821"/>
      <c r="AC4" s="3822"/>
      <c r="AD4" s="3820">
        <f>INDEX(PT_DIFFERENTIATION_CS,MATCH(C4,PT_DIFFERENTIATION_CS_ID,0))</f>
      </c>
      <c r="AE4" s="3821"/>
      <c r="AF4" s="3821"/>
      <c r="AG4" s="3821"/>
      <c r="AH4" s="3821"/>
      <c r="AI4" s="3821"/>
      <c r="AJ4" s="3821"/>
      <c r="AK4" s="3821"/>
      <c r="AL4" s="3821"/>
      <c r="AM4" s="3821"/>
      <c r="AN4" s="3821"/>
      <c r="AO4" s="3821"/>
      <c r="AP4" s="3821"/>
      <c r="AQ4" s="3821"/>
      <c r="AR4" s="3821"/>
      <c r="AS4" s="3821"/>
      <c r="AT4" s="3821"/>
      <c r="AU4" s="3821"/>
      <c r="AV4" s="3821"/>
      <c r="AW4" s="3821"/>
      <c r="AX4" s="3821"/>
      <c r="AY4" s="3821"/>
      <c r="AZ4" s="3821"/>
      <c r="BA4" s="3821"/>
      <c r="BB4" s="3822"/>
      <c r="BC4" s="3823" t="s">
        <v>532</v>
      </c>
      <c r="BF4" s="3479" t="str">
        <f>IF(T4="","",T4)</f>
        <v>Наименование централизованной системы водоотведения</v>
      </c>
      <c r="BI4" s="3432">
        <v>0</v>
      </c>
    </row>
    <row customHeight="1" ht="14.25" hidden="1">
      <c r="E5" s="3824"/>
      <c r="F5" s="3824"/>
      <c r="G5" s="3824"/>
      <c r="H5" s="3817">
        <v>1</v>
      </c>
      <c r="Q5" s="3942"/>
      <c r="R5" s="3836"/>
      <c r="S5" s="3582"/>
      <c r="T5" s="3943"/>
      <c r="U5" s="3861"/>
      <c r="V5" s="3863"/>
      <c r="W5" s="3863"/>
      <c r="X5" s="3863"/>
      <c r="Y5" s="3863"/>
      <c r="Z5" s="3863"/>
      <c r="AA5" s="3863"/>
      <c r="AB5" s="3863"/>
      <c r="AC5" s="3864"/>
      <c r="AD5" s="3862"/>
      <c r="AE5" s="3863"/>
      <c r="AF5" s="3863"/>
      <c r="AG5" s="3863"/>
      <c r="AH5" s="3863"/>
      <c r="AI5" s="3863"/>
      <c r="AJ5" s="3863"/>
      <c r="AK5" s="3863"/>
      <c r="AL5" s="3863"/>
      <c r="AM5" s="3863"/>
      <c r="AN5" s="3863"/>
      <c r="AO5" s="3863"/>
      <c r="AP5" s="3863"/>
      <c r="AQ5" s="3863"/>
      <c r="AR5" s="3863"/>
      <c r="AS5" s="3863"/>
      <c r="AT5" s="3863"/>
      <c r="AU5" s="3863"/>
      <c r="AV5" s="3863"/>
      <c r="AW5" s="3863"/>
      <c r="AX5" s="3863"/>
      <c r="AY5" s="3863"/>
      <c r="AZ5" s="3863"/>
      <c r="BA5" s="3863"/>
      <c r="BB5" s="3864"/>
      <c r="BC5" s="3865" t="s">
        <v>417</v>
      </c>
      <c r="BF5" s="3479" t="str">
        <f>IF(T5="","",T5)</f>
        <v/>
      </c>
      <c r="BI5" s="3473">
        <v>0</v>
      </c>
    </row>
    <row customHeight="1" ht="14.25" hidden="1">
      <c r="E6" s="3824"/>
      <c r="F6" s="3824"/>
      <c r="G6" s="3824"/>
      <c r="H6" s="3824"/>
      <c r="I6" s="3711" t="str">
        <f>S5&amp;".1"</f>
        <v>.1</v>
      </c>
      <c r="L6" s="3866" t="s">
        <v>418</v>
      </c>
      <c r="P6" s="3471">
        <v>1</v>
      </c>
      <c r="R6" s="3831"/>
      <c r="S6" s="3582"/>
      <c r="T6" s="3860"/>
      <c r="U6" s="3861"/>
      <c r="V6" s="3863"/>
      <c r="W6" s="3863"/>
      <c r="X6" s="3863"/>
      <c r="Y6" s="3863"/>
      <c r="Z6" s="3863"/>
      <c r="AA6" s="3863"/>
      <c r="AB6" s="3863"/>
      <c r="AC6" s="3864"/>
      <c r="AD6" s="3862"/>
      <c r="AE6" s="3863"/>
      <c r="AF6" s="3863"/>
      <c r="AG6" s="3863"/>
      <c r="AH6" s="3863"/>
      <c r="AI6" s="3863"/>
      <c r="AJ6" s="3863"/>
      <c r="AK6" s="3863"/>
      <c r="AL6" s="3863"/>
      <c r="AM6" s="3863"/>
      <c r="AN6" s="3863"/>
      <c r="AO6" s="3863"/>
      <c r="AP6" s="3863"/>
      <c r="AQ6" s="3863"/>
      <c r="AR6" s="3863"/>
      <c r="AS6" s="3863"/>
      <c r="AT6" s="3863"/>
      <c r="AU6" s="3863"/>
      <c r="AV6" s="3863"/>
      <c r="AW6" s="3863"/>
      <c r="AX6" s="3863"/>
      <c r="AY6" s="3863"/>
      <c r="AZ6" s="3863"/>
      <c r="BA6" s="3863"/>
      <c r="BB6" s="3864"/>
      <c r="BC6" s="3865"/>
      <c r="BF6" s="3479" t="str">
        <f>IF(T6="","",T6)</f>
        <v/>
      </c>
      <c r="BI6" s="3473">
        <v>0</v>
      </c>
    </row>
    <row customHeight="1" ht="14.25" hidden="1">
      <c r="E7" s="3824"/>
      <c r="F7" s="3824"/>
      <c r="G7" s="3824"/>
      <c r="H7" s="3824"/>
      <c r="I7" s="3835"/>
      <c r="J7" s="3711" t="str">
        <f>S5&amp;".1"</f>
        <v>.1</v>
      </c>
      <c r="Q7" s="3471">
        <v>1</v>
      </c>
      <c r="R7" s="3836"/>
      <c r="S7" s="3582"/>
      <c r="T7" s="3891"/>
      <c r="U7" s="3861"/>
      <c r="V7" s="3863"/>
      <c r="W7" s="3863"/>
      <c r="X7" s="3863"/>
      <c r="Y7" s="3863"/>
      <c r="Z7" s="3863"/>
      <c r="AA7" s="3863"/>
      <c r="AB7" s="3863"/>
      <c r="AC7" s="3864"/>
      <c r="AD7" s="3862"/>
      <c r="AE7" s="3863"/>
      <c r="AF7" s="3863"/>
      <c r="AG7" s="3863"/>
      <c r="AH7" s="3863"/>
      <c r="AI7" s="3863"/>
      <c r="AJ7" s="3863"/>
      <c r="AK7" s="3863"/>
      <c r="AL7" s="3863"/>
      <c r="AM7" s="3863"/>
      <c r="AN7" s="3863"/>
      <c r="AO7" s="3863"/>
      <c r="AP7" s="3863"/>
      <c r="AQ7" s="3863"/>
      <c r="AR7" s="3863"/>
      <c r="AS7" s="3863"/>
      <c r="AT7" s="3863"/>
      <c r="AU7" s="3863"/>
      <c r="AV7" s="3863"/>
      <c r="AW7" s="3863"/>
      <c r="AX7" s="3863"/>
      <c r="AY7" s="3863"/>
      <c r="AZ7" s="3863"/>
      <c r="BA7" s="3863"/>
      <c r="BB7" s="3864"/>
      <c r="BC7" s="3865"/>
      <c r="BF7" s="3479" t="str">
        <f>IF(T7="","",T7)</f>
        <v/>
      </c>
      <c r="BI7" s="3473">
        <v>0</v>
      </c>
    </row>
    <row customHeight="1" ht="11.25" hidden="1">
      <c r="E8" s="3824"/>
      <c r="F8" s="3824"/>
      <c r="G8" s="3824"/>
      <c r="H8" s="3824"/>
      <c r="I8" s="3835"/>
      <c r="J8" s="3835"/>
      <c r="K8" s="3711">
        <f>S4&amp;".1"</f>
      </c>
      <c r="R8" s="3892">
        <v>1</v>
      </c>
      <c r="S8" s="3867">
        <f>$K8</f>
      </c>
      <c r="T8" s="986"/>
      <c r="U8" s="3819"/>
      <c r="V8" s="838"/>
      <c r="W8" s="840"/>
      <c r="X8" s="838"/>
      <c r="Y8" s="840"/>
      <c r="Z8" s="572"/>
      <c r="AA8" s="210" t="s">
        <v>61</v>
      </c>
      <c r="AB8" s="572"/>
      <c r="AC8" s="210" t="s">
        <v>61</v>
      </c>
      <c r="AD8" s="289" t="s">
        <v>61</v>
      </c>
      <c r="AE8" s="3893"/>
      <c r="AF8" s="314">
        <v>1</v>
      </c>
      <c r="AG8" s="987"/>
      <c r="AH8" s="210" t="s">
        <v>61</v>
      </c>
      <c r="AI8" s="3893"/>
      <c r="AJ8" s="314">
        <v>1</v>
      </c>
      <c r="AK8" s="97" t="s">
        <v>22</v>
      </c>
      <c r="AL8" s="210" t="s">
        <v>61</v>
      </c>
      <c r="AM8" s="3555"/>
      <c r="AN8" s="314">
        <v>1</v>
      </c>
      <c r="AO8" s="1039"/>
      <c r="AP8" s="1040" t="s">
        <v>61</v>
      </c>
      <c r="AQ8" s="3894"/>
      <c r="AR8" s="314">
        <v>1</v>
      </c>
      <c r="AS8" s="107" t="s">
        <v>22</v>
      </c>
      <c r="AT8" s="838"/>
      <c r="AU8" s="840"/>
      <c r="AV8" s="838"/>
      <c r="AW8" s="840"/>
      <c r="AX8" s="572"/>
      <c r="AY8" s="210" t="s">
        <v>61</v>
      </c>
      <c r="AZ8" s="572"/>
      <c r="BA8" s="210" t="s">
        <v>61</v>
      </c>
      <c r="BB8" s="882"/>
      <c r="BC8" s="3839" t="s">
        <v>516</v>
      </c>
      <c r="BF8" s="3479" t="str">
        <f>IF(T8="","",T8)</f>
        <v/>
      </c>
      <c r="BI8" s="3432">
        <v>0</v>
      </c>
    </row>
    <row customHeight="1" ht="11.25" hidden="1">
      <c r="E9" s="3824"/>
      <c r="F9" s="3824"/>
      <c r="G9" s="3824"/>
      <c r="H9" s="3824"/>
      <c r="I9" s="3835"/>
      <c r="J9" s="3835"/>
      <c r="K9" s="3711"/>
      <c r="R9" s="3892"/>
      <c r="S9" s="3895"/>
      <c r="T9" s="1041"/>
      <c r="U9" s="3819"/>
      <c r="V9" s="925"/>
      <c r="W9" s="943"/>
      <c r="X9" s="925"/>
      <c r="Y9" s="943"/>
      <c r="Z9" s="925"/>
      <c r="AA9" s="925"/>
      <c r="AB9" s="925"/>
      <c r="AC9" s="925"/>
      <c r="AD9" s="295"/>
      <c r="AE9" s="3893"/>
      <c r="AF9" s="314"/>
      <c r="AG9" s="987"/>
      <c r="AH9" s="210"/>
      <c r="AI9" s="3893"/>
      <c r="AJ9" s="314"/>
      <c r="AK9" s="97"/>
      <c r="AL9" s="210"/>
      <c r="AM9" s="3561"/>
      <c r="AN9" s="314"/>
      <c r="AO9" s="1039"/>
      <c r="AP9" s="1042"/>
      <c r="AQ9" s="697"/>
      <c r="AR9" s="172"/>
      <c r="AS9" s="172" t="s">
        <v>517</v>
      </c>
      <c r="AT9" s="925"/>
      <c r="AU9" s="943"/>
      <c r="AV9" s="925"/>
      <c r="AW9" s="943"/>
      <c r="AX9" s="925"/>
      <c r="AY9" s="925"/>
      <c r="AZ9" s="925"/>
      <c r="BA9" s="925"/>
      <c r="BB9" s="942"/>
      <c r="BC9" s="3840"/>
      <c r="BI9" s="3432">
        <v>0</v>
      </c>
    </row>
    <row customHeight="1" ht="11.25" hidden="1">
      <c r="E10" s="3824"/>
      <c r="F10" s="3824"/>
      <c r="G10" s="3824"/>
      <c r="H10" s="3824"/>
      <c r="I10" s="3835"/>
      <c r="J10" s="3835"/>
      <c r="K10" s="3711"/>
      <c r="R10" s="3892"/>
      <c r="S10" s="3895"/>
      <c r="T10" s="1041"/>
      <c r="U10" s="3819"/>
      <c r="V10" s="925"/>
      <c r="W10" s="943"/>
      <c r="X10" s="925"/>
      <c r="Y10" s="943"/>
      <c r="Z10" s="925"/>
      <c r="AA10" s="925"/>
      <c r="AB10" s="925"/>
      <c r="AC10" s="925"/>
      <c r="AD10" s="295"/>
      <c r="AE10" s="3893"/>
      <c r="AF10" s="314"/>
      <c r="AG10" s="987"/>
      <c r="AH10" s="210"/>
      <c r="AI10" s="3893"/>
      <c r="AJ10" s="314"/>
      <c r="AK10" s="97"/>
      <c r="AL10" s="210"/>
      <c r="AM10" s="697"/>
      <c r="AN10" s="791"/>
      <c r="AO10" s="791" t="s">
        <v>537</v>
      </c>
      <c r="AP10" s="172"/>
      <c r="AQ10" s="172"/>
      <c r="AR10" s="172"/>
      <c r="AS10" s="925"/>
      <c r="AT10" s="925"/>
      <c r="AU10" s="943"/>
      <c r="AV10" s="925"/>
      <c r="AW10" s="943"/>
      <c r="AX10" s="925"/>
      <c r="AY10" s="925"/>
      <c r="AZ10" s="925"/>
      <c r="BA10" s="925"/>
      <c r="BB10" s="942"/>
      <c r="BC10" s="3840"/>
      <c r="BI10" s="3432">
        <v>0</v>
      </c>
    </row>
    <row customHeight="1" ht="11.25" hidden="1">
      <c r="E11" s="3824"/>
      <c r="F11" s="3824"/>
      <c r="G11" s="3824"/>
      <c r="H11" s="3824"/>
      <c r="I11" s="3835"/>
      <c r="J11" s="3835"/>
      <c r="K11" s="3711"/>
      <c r="R11" s="3892"/>
      <c r="S11" s="3895"/>
      <c r="T11" s="1041"/>
      <c r="U11" s="3819"/>
      <c r="V11" s="925"/>
      <c r="W11" s="943"/>
      <c r="X11" s="925"/>
      <c r="Y11" s="943"/>
      <c r="Z11" s="925"/>
      <c r="AA11" s="925"/>
      <c r="AB11" s="925"/>
      <c r="AC11" s="925"/>
      <c r="AD11" s="295"/>
      <c r="AE11" s="3893"/>
      <c r="AF11" s="314"/>
      <c r="AG11" s="987"/>
      <c r="AH11" s="210"/>
      <c r="AI11" s="945"/>
      <c r="AJ11" s="167"/>
      <c r="AK11" s="406" t="s">
        <v>538</v>
      </c>
      <c r="AL11" s="925"/>
      <c r="AM11" s="925"/>
      <c r="AN11" s="925"/>
      <c r="AO11" s="925"/>
      <c r="AP11" s="925"/>
      <c r="AQ11" s="925"/>
      <c r="AR11" s="925"/>
      <c r="AS11" s="925"/>
      <c r="AT11" s="925"/>
      <c r="AU11" s="943"/>
      <c r="AV11" s="925"/>
      <c r="AW11" s="943"/>
      <c r="AX11" s="925"/>
      <c r="AY11" s="925"/>
      <c r="AZ11" s="925"/>
      <c r="BA11" s="925"/>
      <c r="BB11" s="942"/>
      <c r="BC11" s="3840"/>
      <c r="BI11" s="3432">
        <v>0</v>
      </c>
    </row>
    <row customHeight="1" ht="11.25" hidden="1">
      <c r="E12" s="3824"/>
      <c r="F12" s="3824"/>
      <c r="G12" s="3824"/>
      <c r="H12" s="3824"/>
      <c r="I12" s="3835"/>
      <c r="J12" s="3835"/>
      <c r="K12" s="3711"/>
      <c r="R12" s="3892"/>
      <c r="S12" s="3876"/>
      <c r="T12" s="1043"/>
      <c r="U12" s="3819"/>
      <c r="V12" s="925"/>
      <c r="W12" s="926" t="str">
        <f>Z8&amp;"-"&amp;AB8</f>
        <v>-</v>
      </c>
      <c r="X12" s="925"/>
      <c r="Y12" s="926" t="str">
        <f>AB8&amp;"-"&amp;AD8</f>
        <v>-да</v>
      </c>
      <c r="Z12" s="925"/>
      <c r="AA12" s="925"/>
      <c r="AB12" s="925"/>
      <c r="AC12" s="925"/>
      <c r="AD12" s="206"/>
      <c r="AE12" s="948"/>
      <c r="AF12" s="949"/>
      <c r="AG12" s="172" t="s">
        <v>520</v>
      </c>
      <c r="AH12" s="925"/>
      <c r="AI12" s="925"/>
      <c r="AJ12" s="925"/>
      <c r="AK12" s="925"/>
      <c r="AL12" s="925"/>
      <c r="AM12" s="925"/>
      <c r="AN12" s="925"/>
      <c r="AO12" s="925"/>
      <c r="AP12" s="925"/>
      <c r="AQ12" s="925"/>
      <c r="AR12" s="925"/>
      <c r="AS12" s="925"/>
      <c r="AT12" s="925"/>
      <c r="AU12" s="926" t="str">
        <f>AX8&amp;"-"&amp;AZ8</f>
        <v>-</v>
      </c>
      <c r="AV12" s="925"/>
      <c r="AW12" s="926" t="str">
        <f>AZ8&amp;"-"&amp;BB8</f>
        <v>-</v>
      </c>
      <c r="AX12" s="925"/>
      <c r="AY12" s="925"/>
      <c r="AZ12" s="925"/>
      <c r="BA12" s="925"/>
      <c r="BB12" s="947" t="str">
        <f>BE8&amp;"-"&amp;BG8</f>
        <v>-</v>
      </c>
      <c r="BC12" s="3840"/>
      <c r="BF12" s="3479" t="str">
        <f>IF(T12="","",T12)</f>
        <v/>
      </c>
      <c r="BI12" s="3432">
        <v>0</v>
      </c>
    </row>
    <row customHeight="1" ht="11.25" hidden="1">
      <c r="E13" s="3824"/>
      <c r="F13" s="3824"/>
      <c r="G13" s="3824"/>
      <c r="H13" s="3824"/>
      <c r="I13" s="3835"/>
      <c r="J13" s="3711"/>
      <c r="R13" s="3831"/>
      <c r="S13" s="844"/>
      <c r="T13" s="848" t="s">
        <v>483</v>
      </c>
      <c r="U13" s="200"/>
      <c r="V13" s="200"/>
      <c r="W13" s="200"/>
      <c r="X13" s="200"/>
      <c r="Y13" s="200"/>
      <c r="Z13" s="200"/>
      <c r="AA13" s="200"/>
      <c r="AB13" s="200"/>
      <c r="AC13" s="200"/>
      <c r="AD13" s="971"/>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846"/>
      <c r="BC13" s="3841"/>
      <c r="BF13" s="3479" t="str">
        <f>IF(T13="","",T13)</f>
        <v>Добавить строку</v>
      </c>
      <c r="BI13" s="3432">
        <v>0</v>
      </c>
    </row>
    <row customHeight="1" ht="14.25" hidden="1">
      <c r="E14" s="3824"/>
      <c r="F14" s="3824"/>
      <c r="G14" s="3824"/>
      <c r="H14" s="3824"/>
      <c r="I14" s="3711"/>
      <c r="R14" s="3831"/>
      <c r="S14" s="894"/>
      <c r="T14" s="895"/>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7"/>
      <c r="BF14" s="3479" t="str">
        <f>IF(T14="","",T14)</f>
        <v/>
      </c>
      <c r="BI14" s="3473">
        <v>0</v>
      </c>
    </row>
    <row customHeight="1" ht="14.25" hidden="1">
      <c r="E15" s="3824"/>
      <c r="F15" s="3824"/>
      <c r="G15" s="3824"/>
      <c r="H15" s="3817"/>
      <c r="R15" s="950"/>
      <c r="S15" s="894"/>
      <c r="T15" s="895"/>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6"/>
      <c r="AY15" s="896"/>
      <c r="AZ15" s="896"/>
      <c r="BA15" s="896"/>
      <c r="BB15" s="896"/>
      <c r="BC15" s="897"/>
      <c r="BF15" s="3479" t="str">
        <f>IF(T15="","",T15)</f>
        <v/>
      </c>
      <c r="BI15" s="3473">
        <v>0</v>
      </c>
    </row>
    <row customHeight="1" ht="14.25" hidden="1">
      <c r="E16" s="3824"/>
      <c r="F16" s="3824"/>
      <c r="G16" s="3817"/>
      <c r="BF16" s="3479" t="str">
        <f>IF(T16="","",T16)</f>
        <v/>
      </c>
      <c r="BI16" s="3473">
        <v>0</v>
      </c>
    </row>
    <row customHeight="1" ht="14.25" hidden="1">
      <c r="E17" s="3824"/>
      <c r="F17" s="3817"/>
      <c r="T17" s="856" t="s">
        <v>430</v>
      </c>
      <c r="BF17" s="3479" t="str">
        <f>IF(T17="","",T17)</f>
        <v>Добавить централизованную систему для дифференциации</v>
      </c>
      <c r="BI17" s="3473">
        <v>0</v>
      </c>
    </row>
    <row customHeight="1" ht="14.25" hidden="1">
      <c r="E18" s="3817"/>
      <c r="T18" s="856" t="s">
        <v>431</v>
      </c>
      <c r="BF18" s="3479" t="str">
        <f>IF(T18="","",T18)</f>
        <v>Добавить территорию для дифференциации</v>
      </c>
      <c r="BI18" s="3473">
        <v>0</v>
      </c>
    </row>
    <row customHeight="1" ht="14.25" hidden="1">
      <c r="BI19" s="3432">
        <v>0</v>
      </c>
    </row>
    <row customHeight="1" ht="14.25" hidden="1">
      <c r="AD20" s="951" t="s">
        <v>19</v>
      </c>
      <c r="AF20" s="951">
        <v>1</v>
      </c>
      <c r="AH20" s="951" t="s">
        <v>19</v>
      </c>
      <c r="AJ20" s="951">
        <v>1</v>
      </c>
      <c r="AL20" s="951" t="s">
        <v>19</v>
      </c>
      <c r="AN20" s="951">
        <v>1</v>
      </c>
      <c r="AP20" s="951" t="s">
        <v>19</v>
      </c>
      <c r="AR20" s="951">
        <v>1</v>
      </c>
      <c r="AT20" s="839"/>
      <c r="AU20" s="885"/>
      <c r="AV20" s="839"/>
      <c r="AW20" s="885"/>
      <c r="AX20" s="954"/>
      <c r="AY20" s="742" t="s">
        <v>61</v>
      </c>
      <c r="AZ20" s="954"/>
      <c r="BA20" s="742" t="s">
        <v>61</v>
      </c>
      <c r="BI20" s="3432">
        <v>0</v>
      </c>
    </row>
    <row customHeight="1" ht="14.25" hidden="1">
      <c r="BI21" s="3432">
        <v>0</v>
      </c>
    </row>
    <row customHeight="1" ht="14.25" hidden="1">
      <c r="O22" s="859" t="s">
        <v>432</v>
      </c>
      <c r="Z22" s="929"/>
      <c r="AB22" s="929"/>
      <c r="AX22" s="929"/>
      <c r="AZ22" s="929"/>
      <c r="BI22" s="3432">
        <v>0</v>
      </c>
    </row>
    <row customHeight="1" ht="14.25" hidden="1">
      <c r="BI23" s="3432">
        <v>0</v>
      </c>
    </row>
    <row customHeight="1" ht="14.25" hidden="1">
      <c r="O24" s="3897" t="s">
        <v>433</v>
      </c>
      <c r="AA24" s="3897" t="s">
        <v>435</v>
      </c>
      <c r="AC24" s="3897" t="s">
        <v>436</v>
      </c>
      <c r="AD24" s="3897" t="s">
        <v>484</v>
      </c>
      <c r="AH24" s="3897" t="s">
        <v>484</v>
      </c>
      <c r="AK24" s="3897" t="s">
        <v>521</v>
      </c>
      <c r="AL24" s="3897" t="s">
        <v>484</v>
      </c>
      <c r="AP24" s="3897" t="s">
        <v>484</v>
      </c>
      <c r="AY24" s="3897" t="s">
        <v>435</v>
      </c>
      <c r="BA24" s="3897" t="s">
        <v>436</v>
      </c>
      <c r="BI24" s="3897">
        <v>0</v>
      </c>
    </row>
    <row customHeight="1" ht="14.25" hidden="1">
      <c r="BI25" s="3432">
        <v>0</v>
      </c>
    </row>
    <row customHeight="1" ht="14.25" hidden="1">
      <c r="BI26" s="3432">
        <v>0</v>
      </c>
    </row>
    <row customHeight="1" ht="14.699999999999998">
      <c r="Q27" s="3898"/>
      <c r="R27" s="3719"/>
      <c r="S27" s="3842"/>
      <c r="T27" s="3450"/>
      <c r="U27" s="3450"/>
      <c r="BI27" s="3432">
        <v>14</v>
      </c>
    </row>
    <row customHeight="1" ht="14.699999999999998">
      <c r="Q28" s="3898"/>
      <c r="R28" s="3719"/>
      <c r="S28" s="3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646"/>
      <c r="U28" s="3646"/>
      <c r="V28" s="3646"/>
      <c r="W28" s="3646"/>
      <c r="X28" s="3646"/>
      <c r="Y28" s="3646"/>
      <c r="Z28" s="3646"/>
      <c r="AA28" s="3646"/>
      <c r="AB28" s="3646"/>
      <c r="AC28" s="3646"/>
      <c r="AD28" s="3646"/>
      <c r="AE28" s="3646"/>
      <c r="AF28" s="3646"/>
      <c r="AG28" s="3646"/>
      <c r="AH28" s="3646"/>
      <c r="AI28" s="3646"/>
      <c r="AJ28" s="3646"/>
      <c r="AK28" s="3646"/>
      <c r="AL28" s="3646"/>
      <c r="AM28" s="3646"/>
      <c r="AN28" s="3646"/>
      <c r="AO28" s="3646"/>
      <c r="AP28" s="3646"/>
      <c r="AQ28" s="3646"/>
      <c r="AR28" s="3646"/>
      <c r="AS28" s="3646"/>
      <c r="AT28" s="3646"/>
      <c r="AU28" s="3646"/>
      <c r="AV28" s="3646"/>
      <c r="AW28" s="3646"/>
      <c r="AX28" s="3646"/>
      <c r="AY28" s="3646"/>
      <c r="AZ28" s="3646"/>
      <c r="BI28" s="3432">
        <v>14</v>
      </c>
    </row>
    <row customHeight="1" ht="14.699999999999998">
      <c r="Q29" s="3898"/>
      <c r="R29" s="3719"/>
      <c r="S29" s="3554" t="str">
        <f>IF(org=0,"Не определено",org)</f>
        <v>ООО "ТеплоЭлектроГенерирующая Компания"</v>
      </c>
      <c r="T29" s="3554"/>
      <c r="U29" s="3554"/>
      <c r="V29" s="3554"/>
      <c r="W29" s="3554"/>
      <c r="X29" s="3554"/>
      <c r="Y29" s="3554"/>
      <c r="Z29" s="3554"/>
      <c r="AA29" s="3554"/>
      <c r="AB29" s="3554"/>
      <c r="AC29" s="3554"/>
      <c r="AD29" s="3554"/>
      <c r="AE29" s="3554"/>
      <c r="AF29" s="3554"/>
      <c r="AG29" s="3554"/>
      <c r="AH29" s="3554"/>
      <c r="AI29" s="3554"/>
      <c r="AJ29" s="3554"/>
      <c r="AK29" s="3554"/>
      <c r="AL29" s="3554"/>
      <c r="AM29" s="3554"/>
      <c r="AN29" s="3554"/>
      <c r="AO29" s="3554"/>
      <c r="AP29" s="3554"/>
      <c r="AQ29" s="3554"/>
      <c r="AR29" s="3554"/>
      <c r="AS29" s="3554"/>
      <c r="AT29" s="3554"/>
      <c r="AU29" s="3554"/>
      <c r="AV29" s="3554"/>
      <c r="AW29" s="3554"/>
      <c r="AX29" s="3554"/>
      <c r="AY29" s="3554"/>
      <c r="AZ29" s="3554"/>
      <c r="BI29" s="3432">
        <v>14</v>
      </c>
    </row>
    <row customHeight="1" ht="14.25" hidden="1">
      <c r="Q30" s="3898"/>
      <c r="R30" s="3719"/>
      <c r="S30" s="3842"/>
      <c r="T30" s="3450"/>
      <c r="U30" s="3450"/>
      <c r="V30" s="3804"/>
      <c r="W30" s="3804"/>
      <c r="X30" s="3804"/>
      <c r="Y30" s="3804"/>
      <c r="Z30" s="3804"/>
      <c r="AA30" s="3804"/>
      <c r="AB30" s="3804"/>
      <c r="AC30" s="3804"/>
      <c r="AD30" s="3804"/>
      <c r="AE30" s="3804"/>
      <c r="AF30" s="3804"/>
      <c r="AG30" s="3804"/>
      <c r="AH30" s="3804"/>
      <c r="AI30" s="3804"/>
      <c r="AJ30" s="3804"/>
      <c r="AK30" s="3804"/>
      <c r="AL30" s="3804"/>
      <c r="AM30" s="3804"/>
      <c r="AN30" s="3804"/>
      <c r="AO30" s="3804"/>
      <c r="AP30" s="3804"/>
      <c r="AQ30" s="3804"/>
      <c r="AR30" s="3804"/>
      <c r="AS30" s="3804"/>
      <c r="AT30" s="3804"/>
      <c r="AU30" s="3804"/>
      <c r="AV30" s="3804"/>
      <c r="AW30" s="3804"/>
      <c r="AX30" s="3804"/>
      <c r="AY30" s="3804"/>
      <c r="AZ30" s="3804"/>
      <c r="BA30" s="3804"/>
      <c r="BI30" s="3432">
        <v>0</v>
      </c>
    </row>
    <row customHeight="1" ht="25.5" hidden="1">
      <c r="S31" s="3843" t="s">
        <v>41</v>
      </c>
      <c r="T31" s="3843"/>
      <c r="U31" s="3844"/>
      <c r="V31" s="3806" t="str">
        <f>IF(TITLE_NAME_OR_PR_CHANGE="",IF(TITLE_NAME_OR_PR="","",TITLE_NAME_OR_PR),TITLE_NAME_OR_PR_CHANGE)</f>
        <v/>
      </c>
      <c r="W31" s="3806"/>
      <c r="X31" s="3806"/>
      <c r="Y31" s="3806"/>
      <c r="Z31" s="3806"/>
      <c r="AA31" s="3806"/>
      <c r="AB31" s="3806"/>
      <c r="AD31" s="3806" t="str">
        <f>IF(TITLE_NAME_OR_PR_CHANGE="",IF(TITLE_NAME_OR_PR="","",TITLE_NAME_OR_PR),TITLE_NAME_OR_PR_CHANGE)</f>
        <v/>
      </c>
      <c r="AE31" s="3806"/>
      <c r="AF31" s="3806"/>
      <c r="AG31" s="3806"/>
      <c r="AH31" s="3806"/>
      <c r="AI31" s="3806"/>
      <c r="AJ31" s="3806"/>
      <c r="AK31" s="3806"/>
      <c r="AL31" s="3806"/>
      <c r="AM31" s="3806"/>
      <c r="AN31" s="3806"/>
      <c r="AO31" s="3806"/>
      <c r="AP31" s="3806"/>
      <c r="AQ31" s="3806"/>
      <c r="AR31" s="3806"/>
      <c r="AS31" s="3806"/>
      <c r="AT31" s="3806"/>
      <c r="AU31" s="3806"/>
      <c r="AV31" s="3806"/>
      <c r="AW31" s="3806"/>
      <c r="AX31" s="3806"/>
      <c r="AY31" s="3806"/>
      <c r="AZ31" s="3806"/>
      <c r="BI31" s="3489">
        <v>0</v>
      </c>
    </row>
    <row customHeight="1" ht="18.75" hidden="1">
      <c r="S32" s="3843" t="s">
        <v>438</v>
      </c>
      <c r="T32" s="3843"/>
      <c r="U32" s="3844"/>
      <c r="V32" s="795" t="str">
        <f>IF(TITLE_DATE_PR_CHANGE="",IF(TITLE_DATE_PR="","",TITLE_DATE_PR),TITLE_DATE_PR_CHANGE)</f>
        <v/>
      </c>
      <c r="W32" s="795"/>
      <c r="X32" s="795"/>
      <c r="Y32" s="795"/>
      <c r="Z32" s="795"/>
      <c r="AA32" s="795"/>
      <c r="AB32" s="795"/>
      <c r="AD32" s="795" t="str">
        <f>IF(TITLE_DATE_PR_CHANGE="",IF(TITLE_DATE_PR="","",TITLE_DATE_PR),TITLE_DATE_PR_CHANGE)</f>
        <v/>
      </c>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I32" s="3489">
        <v>0</v>
      </c>
    </row>
    <row customHeight="1" ht="18.75" hidden="1">
      <c r="S33" s="3843" t="s">
        <v>439</v>
      </c>
      <c r="T33" s="3843"/>
      <c r="U33" s="3844"/>
      <c r="V33" s="3806" t="str">
        <f>IF(TITLE_NUMBER_PR_CHANGE="",IF(TITLE_NUMBER_PR="","",TITLE_NUMBER_PR),TITLE_NUMBER_PR_CHANGE)</f>
        <v/>
      </c>
      <c r="W33" s="3806"/>
      <c r="X33" s="3806"/>
      <c r="Y33" s="3806"/>
      <c r="Z33" s="3806"/>
      <c r="AA33" s="3806"/>
      <c r="AB33" s="3806"/>
      <c r="AD33" s="3806" t="str">
        <f>IF(TITLE_NUMBER_PR_CHANGE="",IF(TITLE_NUMBER_PR="","",TITLE_NUMBER_PR),TITLE_NUMBER_PR_CHANGE)</f>
        <v/>
      </c>
      <c r="AE33" s="3806"/>
      <c r="AF33" s="3806"/>
      <c r="AG33" s="3806"/>
      <c r="AH33" s="3806"/>
      <c r="AI33" s="3806"/>
      <c r="AJ33" s="3806"/>
      <c r="AK33" s="3806"/>
      <c r="AL33" s="3806"/>
      <c r="AM33" s="3806"/>
      <c r="AN33" s="3806"/>
      <c r="AO33" s="3806"/>
      <c r="AP33" s="3806"/>
      <c r="AQ33" s="3806"/>
      <c r="AR33" s="3806"/>
      <c r="AS33" s="3806"/>
      <c r="AT33" s="3806"/>
      <c r="AU33" s="3806"/>
      <c r="AV33" s="3806"/>
      <c r="AW33" s="3806"/>
      <c r="AX33" s="3806"/>
      <c r="AY33" s="3806"/>
      <c r="AZ33" s="3806"/>
      <c r="BI33" s="3489">
        <v>0</v>
      </c>
    </row>
    <row customHeight="1" ht="18.75" hidden="1">
      <c r="S34" s="3843" t="s">
        <v>42</v>
      </c>
      <c r="T34" s="3843"/>
      <c r="U34" s="3844"/>
      <c r="V34" s="3806" t="str">
        <f>IF(TITLE_IST_PUB_CHANGE="",IF(TITLE_IST_PUB="","",TITLE_IST_PUB),TITLE_IST_PUB_CHANGE)</f>
        <v/>
      </c>
      <c r="W34" s="3806"/>
      <c r="X34" s="3806"/>
      <c r="Y34" s="3806"/>
      <c r="Z34" s="3806"/>
      <c r="AA34" s="3806"/>
      <c r="AB34" s="3806"/>
      <c r="AD34" s="3806" t="str">
        <f>IF(TITLE_IST_PUB_CHANGE="",IF(TITLE_IST_PUB="","",TITLE_IST_PUB),TITLE_IST_PUB_CHANGE)</f>
        <v/>
      </c>
      <c r="AE34" s="3806"/>
      <c r="AF34" s="3806"/>
      <c r="AG34" s="3806"/>
      <c r="AH34" s="3806"/>
      <c r="AI34" s="3806"/>
      <c r="AJ34" s="3806"/>
      <c r="AK34" s="3806"/>
      <c r="AL34" s="3806"/>
      <c r="AM34" s="3806"/>
      <c r="AN34" s="3806"/>
      <c r="AO34" s="3806"/>
      <c r="AP34" s="3806"/>
      <c r="AQ34" s="3806"/>
      <c r="AR34" s="3806"/>
      <c r="AS34" s="3806"/>
      <c r="AT34" s="3806"/>
      <c r="AU34" s="3806"/>
      <c r="AV34" s="3806"/>
      <c r="AW34" s="3806"/>
      <c r="AX34" s="3806"/>
      <c r="AY34" s="3806"/>
      <c r="AZ34" s="3806"/>
      <c r="BI34" s="3489">
        <v>0</v>
      </c>
    </row>
    <row customHeight="1" ht="14.25" hidden="1">
      <c r="Q35" s="3898"/>
      <c r="R35" s="3719"/>
      <c r="S35" s="3842"/>
      <c r="T35" s="3450"/>
      <c r="U35" s="3450"/>
      <c r="V35" s="3804"/>
      <c r="W35" s="3804"/>
      <c r="X35" s="3804"/>
      <c r="Y35" s="3804"/>
      <c r="Z35" s="3804"/>
      <c r="AA35" s="3804"/>
      <c r="AB35" s="3804"/>
      <c r="AC35" s="3804"/>
      <c r="AD35" s="3804"/>
      <c r="AE35" s="3804"/>
      <c r="AF35" s="3804"/>
      <c r="AG35" s="3804"/>
      <c r="AH35" s="3804"/>
      <c r="AI35" s="3804"/>
      <c r="AJ35" s="3804"/>
      <c r="AK35" s="3804"/>
      <c r="AL35" s="3804"/>
      <c r="AM35" s="3804"/>
      <c r="AN35" s="3804"/>
      <c r="AO35" s="3804"/>
      <c r="AP35" s="3804"/>
      <c r="AQ35" s="3804"/>
      <c r="AR35" s="3804"/>
      <c r="AS35" s="3804"/>
      <c r="AT35" s="3804"/>
      <c r="AU35" s="3804"/>
      <c r="AV35" s="3804"/>
      <c r="AW35" s="3804"/>
      <c r="AX35" s="3804"/>
      <c r="AY35" s="3804"/>
      <c r="AZ35" s="3804"/>
      <c r="BA35" s="3804"/>
      <c r="BI35" s="3432">
        <v>0</v>
      </c>
    </row>
    <row customHeight="1" ht="18.75" hidden="1">
      <c r="S36" s="3843" t="s">
        <v>438</v>
      </c>
      <c r="T36" s="3843"/>
      <c r="U36" s="3844"/>
      <c r="V36" s="795" t="str">
        <f>IF(TITLE_DATE_PR_CHANGE="",IF(TITLE_DATE_PR="","",TITLE_DATE_PR),TITLE_DATE_PR_CHANGE)</f>
        <v/>
      </c>
      <c r="W36" s="795"/>
      <c r="X36" s="795"/>
      <c r="Y36" s="795"/>
      <c r="Z36" s="795"/>
      <c r="AA36" s="795"/>
      <c r="AB36" s="795"/>
      <c r="AD36" s="795" t="str">
        <f>IF(TITLE_DATE_PR_CHANGE="",IF(TITLE_DATE_PR="","",TITLE_DATE_PR),TITLE_DATE_PR_CHANGE)</f>
        <v/>
      </c>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I36" s="3489">
        <v>0</v>
      </c>
    </row>
    <row customHeight="1" ht="18.75" hidden="1">
      <c r="S37" s="3843" t="s">
        <v>439</v>
      </c>
      <c r="T37" s="3843"/>
      <c r="U37" s="3844"/>
      <c r="V37" s="3806" t="str">
        <f>IF(TITLE_NUMBER_PR_CHANGE="",IF(TITLE_NUMBER_PR="","",TITLE_NUMBER_PR),TITLE_NUMBER_PR_CHANGE)</f>
        <v/>
      </c>
      <c r="W37" s="3806"/>
      <c r="X37" s="3806"/>
      <c r="Y37" s="3806"/>
      <c r="Z37" s="3806"/>
      <c r="AA37" s="3806"/>
      <c r="AB37" s="3806"/>
      <c r="AD37" s="3806" t="str">
        <f>IF(TITLE_NUMBER_PR_CHANGE="",IF(TITLE_NUMBER_PR="","",TITLE_NUMBER_PR),TITLE_NUMBER_PR_CHANGE)</f>
        <v/>
      </c>
      <c r="AE37" s="3806"/>
      <c r="AF37" s="3806"/>
      <c r="AG37" s="3806"/>
      <c r="AH37" s="3806"/>
      <c r="AI37" s="3806"/>
      <c r="AJ37" s="3806"/>
      <c r="AK37" s="3806"/>
      <c r="AL37" s="3806"/>
      <c r="AM37" s="3806"/>
      <c r="AN37" s="3806"/>
      <c r="AO37" s="3806"/>
      <c r="AP37" s="3806"/>
      <c r="AQ37" s="3806"/>
      <c r="AR37" s="3806"/>
      <c r="AS37" s="3806"/>
      <c r="AT37" s="3806"/>
      <c r="AU37" s="3806"/>
      <c r="AV37" s="3806"/>
      <c r="AW37" s="3806"/>
      <c r="AX37" s="3806"/>
      <c r="AY37" s="3806"/>
      <c r="AZ37" s="3806"/>
      <c r="BI37" s="3489">
        <v>0</v>
      </c>
    </row>
    <row customHeight="1" ht="0">
      <c r="AC38" s="3473" t="s">
        <v>442</v>
      </c>
      <c r="BA38" s="3473" t="s">
        <v>442</v>
      </c>
      <c r="BI38" s="3489">
        <v>0</v>
      </c>
    </row>
    <row customHeight="1" ht="14.699999999999998">
      <c r="Q39" s="3898"/>
      <c r="R39" s="3719"/>
      <c r="S39" s="3842"/>
      <c r="T39" s="3450"/>
      <c r="U39" s="3845"/>
      <c r="V39" s="3846"/>
      <c r="W39" s="3846"/>
      <c r="X39" s="3846"/>
      <c r="Y39" s="3846"/>
      <c r="Z39" s="3846"/>
      <c r="AA39" s="3846"/>
      <c r="AB39" s="3846"/>
      <c r="AC39" s="3846"/>
      <c r="AD39" s="3846"/>
      <c r="AE39" s="3846"/>
      <c r="AF39" s="3846"/>
      <c r="AG39" s="3846"/>
      <c r="AH39" s="3846"/>
      <c r="AI39" s="3846"/>
      <c r="AJ39" s="3846"/>
      <c r="AK39" s="3846"/>
      <c r="AL39" s="3846"/>
      <c r="AM39" s="3846"/>
      <c r="AN39" s="3846"/>
      <c r="AO39" s="3846"/>
      <c r="AP39" s="3846"/>
      <c r="AQ39" s="3846"/>
      <c r="AR39" s="3846"/>
      <c r="AS39" s="3846"/>
      <c r="AT39" s="3846"/>
      <c r="AU39" s="3846"/>
      <c r="AV39" s="3846"/>
      <c r="AW39" s="3846"/>
      <c r="AX39" s="3846"/>
      <c r="AY39" s="3846"/>
      <c r="AZ39" s="3846"/>
      <c r="BA39" s="3846"/>
      <c r="BI39" s="3432">
        <v>14</v>
      </c>
    </row>
    <row customHeight="1" ht="14.699999999999998">
      <c r="Q40" s="3898"/>
      <c r="R40" s="3719"/>
      <c r="S40" s="3480" t="s">
        <v>315</v>
      </c>
      <c r="T40" s="3480"/>
      <c r="U40" s="3480"/>
      <c r="V40" s="3480"/>
      <c r="W40" s="3480"/>
      <c r="X40" s="3480"/>
      <c r="Y40" s="3480"/>
      <c r="Z40" s="3480"/>
      <c r="AA40" s="3480"/>
      <c r="AB40" s="3480"/>
      <c r="AC40" s="3480"/>
      <c r="AD40" s="3480"/>
      <c r="AE40" s="3480"/>
      <c r="AF40" s="3480"/>
      <c r="AG40" s="3480"/>
      <c r="AH40" s="3480"/>
      <c r="AI40" s="3480"/>
      <c r="AJ40" s="3480"/>
      <c r="AK40" s="3480"/>
      <c r="AL40" s="3480"/>
      <c r="AM40" s="3480"/>
      <c r="AN40" s="3480"/>
      <c r="AO40" s="3480"/>
      <c r="AP40" s="3480"/>
      <c r="AQ40" s="3480"/>
      <c r="AR40" s="3480"/>
      <c r="AS40" s="3480"/>
      <c r="AT40" s="3480"/>
      <c r="AU40" s="3480"/>
      <c r="AV40" s="3480"/>
      <c r="AW40" s="3480"/>
      <c r="AX40" s="3480"/>
      <c r="AY40" s="3480"/>
      <c r="AZ40" s="3480"/>
      <c r="BA40" s="3480"/>
      <c r="BB40" s="3480"/>
      <c r="BC40" s="3480" t="s">
        <v>316</v>
      </c>
      <c r="BI40" s="3432">
        <v>14</v>
      </c>
    </row>
    <row customHeight="1" ht="14.699999999999998">
      <c r="Q41" s="3898"/>
      <c r="R41" s="3719"/>
      <c r="S41" s="3818" t="s">
        <v>86</v>
      </c>
      <c r="T41" s="3579" t="s">
        <v>522</v>
      </c>
      <c r="U41" s="3793"/>
      <c r="V41" s="3847" t="s">
        <v>444</v>
      </c>
      <c r="W41" s="3848"/>
      <c r="X41" s="3848"/>
      <c r="Y41" s="3848"/>
      <c r="Z41" s="3848"/>
      <c r="AA41" s="3848"/>
      <c r="AB41" s="3849"/>
      <c r="AC41" s="3807" t="s">
        <v>445</v>
      </c>
      <c r="AD41" s="3900" t="s">
        <v>539</v>
      </c>
      <c r="AE41" s="3858"/>
      <c r="AF41" s="3858"/>
      <c r="AG41" s="3901"/>
      <c r="AH41" s="3900" t="s">
        <v>540</v>
      </c>
      <c r="AI41" s="3858"/>
      <c r="AJ41" s="3858"/>
      <c r="AK41" s="3901"/>
      <c r="AL41" s="3900" t="s">
        <v>541</v>
      </c>
      <c r="AM41" s="3858"/>
      <c r="AN41" s="3858"/>
      <c r="AO41" s="3901"/>
      <c r="AP41" s="3900" t="s">
        <v>526</v>
      </c>
      <c r="AQ41" s="3858"/>
      <c r="AR41" s="3858"/>
      <c r="AS41" s="3901"/>
      <c r="AT41" s="3847" t="s">
        <v>444</v>
      </c>
      <c r="AU41" s="3848"/>
      <c r="AV41" s="3848"/>
      <c r="AW41" s="3848"/>
      <c r="AX41" s="3848"/>
      <c r="AY41" s="3848"/>
      <c r="AZ41" s="3849"/>
      <c r="BA41" s="3807" t="s">
        <v>445</v>
      </c>
      <c r="BB41" s="868" t="s">
        <v>447</v>
      </c>
      <c r="BC41" s="3480"/>
      <c r="BI41" s="3432">
        <v>14</v>
      </c>
    </row>
    <row customHeight="1" ht="35.699999999999996">
      <c r="Q42" s="3898"/>
      <c r="R42" s="3719"/>
      <c r="S42" s="3818"/>
      <c r="T42" s="3579"/>
      <c r="U42" s="3798"/>
      <c r="V42" s="3555" t="s">
        <v>527</v>
      </c>
      <c r="W42" s="3556"/>
      <c r="X42" s="3555" t="s">
        <v>528</v>
      </c>
      <c r="Y42" s="3556"/>
      <c r="Z42" s="3555" t="s">
        <v>529</v>
      </c>
      <c r="AA42" s="3886"/>
      <c r="AB42" s="3556"/>
      <c r="AC42" s="3851"/>
      <c r="AD42" s="3903"/>
      <c r="AE42" s="3904"/>
      <c r="AF42" s="3904"/>
      <c r="AG42" s="3905"/>
      <c r="AH42" s="3903"/>
      <c r="AI42" s="3904"/>
      <c r="AJ42" s="3904"/>
      <c r="AK42" s="3905"/>
      <c r="AL42" s="3903"/>
      <c r="AM42" s="3904"/>
      <c r="AN42" s="3904"/>
      <c r="AO42" s="3905"/>
      <c r="AP42" s="3903"/>
      <c r="AQ42" s="3904"/>
      <c r="AR42" s="3904"/>
      <c r="AS42" s="3905"/>
      <c r="AT42" s="3555" t="s">
        <v>542</v>
      </c>
      <c r="AU42" s="3556"/>
      <c r="AV42" s="3555" t="s">
        <v>543</v>
      </c>
      <c r="AW42" s="3556"/>
      <c r="AX42" s="3555" t="s">
        <v>529</v>
      </c>
      <c r="AY42" s="3886"/>
      <c r="AZ42" s="3556"/>
      <c r="BA42" s="3851"/>
      <c r="BB42" s="871"/>
      <c r="BC42" s="3480"/>
      <c r="BI42" s="3432">
        <v>34</v>
      </c>
    </row>
    <row customHeight="1" ht="14.699999999999998">
      <c r="Q43" s="3898"/>
      <c r="R43" s="3719"/>
      <c r="S43" s="3818"/>
      <c r="T43" s="3579"/>
      <c r="U43" s="3798"/>
      <c r="V43" s="3561"/>
      <c r="W43" s="3562"/>
      <c r="X43" s="3561"/>
      <c r="Y43" s="3562"/>
      <c r="Z43" s="3561"/>
      <c r="AA43" s="3887"/>
      <c r="AB43" s="3562"/>
      <c r="AC43" s="3851"/>
      <c r="AD43" s="3903"/>
      <c r="AE43" s="3904"/>
      <c r="AF43" s="3904"/>
      <c r="AG43" s="3905"/>
      <c r="AH43" s="3903"/>
      <c r="AI43" s="3904"/>
      <c r="AJ43" s="3904"/>
      <c r="AK43" s="3905"/>
      <c r="AL43" s="3903"/>
      <c r="AM43" s="3904"/>
      <c r="AN43" s="3904"/>
      <c r="AO43" s="3905"/>
      <c r="AP43" s="3903"/>
      <c r="AQ43" s="3904"/>
      <c r="AR43" s="3904"/>
      <c r="AS43" s="3905"/>
      <c r="AT43" s="3561"/>
      <c r="AU43" s="3562"/>
      <c r="AV43" s="3561"/>
      <c r="AW43" s="3562"/>
      <c r="AX43" s="3561"/>
      <c r="AY43" s="3887"/>
      <c r="AZ43" s="3562"/>
      <c r="BA43" s="3851"/>
      <c r="BB43" s="871"/>
      <c r="BC43" s="3480"/>
      <c r="BI43" s="3432">
        <v>14</v>
      </c>
    </row>
    <row customHeight="1" ht="14.699999999999998">
      <c r="B44" s="3511" t="s">
        <v>153</v>
      </c>
      <c r="C44" s="3511" t="s">
        <v>154</v>
      </c>
      <c r="D44" s="3511" t="s">
        <v>155</v>
      </c>
      <c r="E44" s="3830" t="s">
        <v>452</v>
      </c>
      <c r="F44" s="3830" t="s">
        <v>453</v>
      </c>
      <c r="G44" s="3830" t="s">
        <v>454</v>
      </c>
      <c r="H44" s="3830" t="s">
        <v>455</v>
      </c>
      <c r="I44" s="3830" t="s">
        <v>456</v>
      </c>
      <c r="J44" s="3830" t="s">
        <v>457</v>
      </c>
      <c r="K44" s="3830" t="s">
        <v>458</v>
      </c>
      <c r="L44" s="3830" t="s">
        <v>433</v>
      </c>
      <c r="Q44" s="3898"/>
      <c r="R44" s="3719"/>
      <c r="S44" s="3818"/>
      <c r="T44" s="3579"/>
      <c r="U44" s="3852"/>
      <c r="V44" s="3579" t="s">
        <v>493</v>
      </c>
      <c r="W44" s="3579" t="s">
        <v>494</v>
      </c>
      <c r="X44" s="3579" t="s">
        <v>493</v>
      </c>
      <c r="Y44" s="3579" t="s">
        <v>494</v>
      </c>
      <c r="Z44" s="3525" t="s">
        <v>461</v>
      </c>
      <c r="AA44" s="3626" t="s">
        <v>462</v>
      </c>
      <c r="AB44" s="3628"/>
      <c r="AC44" s="3810"/>
      <c r="AD44" s="3909"/>
      <c r="AE44" s="3910"/>
      <c r="AF44" s="3910"/>
      <c r="AG44" s="3911"/>
      <c r="AH44" s="3909"/>
      <c r="AI44" s="3910"/>
      <c r="AJ44" s="3910"/>
      <c r="AK44" s="3911"/>
      <c r="AL44" s="3909"/>
      <c r="AM44" s="3910"/>
      <c r="AN44" s="3910"/>
      <c r="AO44" s="3911"/>
      <c r="AP44" s="3909"/>
      <c r="AQ44" s="3910"/>
      <c r="AR44" s="3910"/>
      <c r="AS44" s="3911"/>
      <c r="AT44" s="3579" t="s">
        <v>493</v>
      </c>
      <c r="AU44" s="3579" t="s">
        <v>494</v>
      </c>
      <c r="AV44" s="3579" t="s">
        <v>493</v>
      </c>
      <c r="AW44" s="3579" t="s">
        <v>494</v>
      </c>
      <c r="AX44" s="3525" t="s">
        <v>461</v>
      </c>
      <c r="AY44" s="3626" t="s">
        <v>462</v>
      </c>
      <c r="AZ44" s="3628"/>
      <c r="BA44" s="3810"/>
      <c r="BB44" s="873"/>
      <c r="BC44" s="3480"/>
      <c r="BI44" s="3432">
        <v>14</v>
      </c>
    </row>
    <row customHeight="1" ht="11.25" hidden="1">
      <c r="Q45" s="3854"/>
      <c r="R45" s="3854">
        <v>1</v>
      </c>
      <c r="S45" s="876" t="s">
        <v>107</v>
      </c>
      <c r="T45" s="877" t="s">
        <v>108</v>
      </c>
      <c r="U45" s="3855" t="str">
        <f>OFFSET(U45,0,-1)</f>
        <v>2</v>
      </c>
      <c r="V45" s="3856">
        <f>OFFSET(V45,0,-1)+1</f>
        <v>3</v>
      </c>
      <c r="W45" s="3856">
        <f>OFFSET(W45,0,-1)+1</f>
        <v>4</v>
      </c>
      <c r="X45" s="3856">
        <f>OFFSET(X45,0,-1)+1</f>
        <v>5</v>
      </c>
      <c r="Y45" s="3856">
        <f>OFFSET(Y45,0,-1)+1</f>
        <v>6</v>
      </c>
      <c r="Z45" s="3856">
        <f>OFFSET(Z45,0,-1)+1</f>
        <v>7</v>
      </c>
      <c r="AA45" s="3856">
        <f>OFFSET(AA45,0,-1)+1</f>
        <v>8</v>
      </c>
      <c r="AB45" s="3856"/>
      <c r="AC45" s="3856">
        <f>OFFSET(AC45,0,-2)+1</f>
        <v>9</v>
      </c>
      <c r="AD45" s="3856">
        <f>OFFSET(AD45,0,-1)+1</f>
        <v>10</v>
      </c>
      <c r="AE45" s="3856"/>
      <c r="AF45" s="3856"/>
      <c r="AG45" s="3856"/>
      <c r="AH45" s="3856"/>
      <c r="AI45" s="3856"/>
      <c r="AJ45" s="3856"/>
      <c r="AK45" s="3856"/>
      <c r="AL45" s="3856"/>
      <c r="AM45" s="3856"/>
      <c r="AN45" s="3856"/>
      <c r="AO45" s="3856"/>
      <c r="AP45" s="3856"/>
      <c r="AQ45" s="3856"/>
      <c r="AR45" s="3856"/>
      <c r="AS45" s="3856"/>
      <c r="AT45" s="3856"/>
      <c r="AU45" s="3856"/>
      <c r="AV45" s="3856"/>
      <c r="AW45" s="3856">
        <f>OFFSET(AW45,0,-1)+1</f>
        <v>1</v>
      </c>
      <c r="AX45" s="3856">
        <f>OFFSET(AX45,0,-1)+1</f>
        <v>2</v>
      </c>
      <c r="AY45" s="3856">
        <f>OFFSET(AY45,0,-1)+1</f>
        <v>3</v>
      </c>
      <c r="AZ45" s="3856"/>
      <c r="BA45" s="3856">
        <f>OFFSET(BA45,0,-2)+1</f>
        <v>4</v>
      </c>
      <c r="BB45" s="3855">
        <f>OFFSET(BB45,0,-1)</f>
        <v>4</v>
      </c>
      <c r="BC45" s="3856">
        <f>OFFSET(BC45,0,-1)+1</f>
        <v>5</v>
      </c>
      <c r="BI45" s="3637">
        <v>0</v>
      </c>
    </row>
    <row customHeight="1" ht="22.049999999999997">
      <c r="A46" s="3857" t="s">
        <v>291</v>
      </c>
      <c r="E46" s="3817">
        <v>1</v>
      </c>
      <c r="R46" s="816"/>
      <c r="S46" s="3818">
        <f>INDEX(PT_DIFFERENTIATION_NUM_NTAR,MATCH(A46,PT_DIFFERENTIATION_NTAR_ID,0))</f>
        <v>0</v>
      </c>
      <c r="T46" s="3764" t="s">
        <v>141</v>
      </c>
      <c r="U46" s="3819"/>
      <c r="V46" s="3821"/>
      <c r="W46" s="3821"/>
      <c r="X46" s="3821"/>
      <c r="Y46" s="3821"/>
      <c r="Z46" s="3821"/>
      <c r="AA46" s="3821"/>
      <c r="AB46" s="3821"/>
      <c r="AC46" s="3822"/>
      <c r="AD46" s="3820" t="str">
        <f>INDEX(PT_DIFFERENTIATION_NTAR,MATCH(A46,PT_DIFFERENTIATION_NTAR_ID,0))</f>
        <v/>
      </c>
      <c r="AE46" s="3821"/>
      <c r="AF46" s="3821"/>
      <c r="AG46" s="3821"/>
      <c r="AH46" s="3821"/>
      <c r="AI46" s="3821"/>
      <c r="AJ46" s="3821"/>
      <c r="AK46" s="3821"/>
      <c r="AL46" s="3821"/>
      <c r="AM46" s="3821"/>
      <c r="AN46" s="3821"/>
      <c r="AO46" s="3821"/>
      <c r="AP46" s="3821"/>
      <c r="AQ46" s="3821"/>
      <c r="AR46" s="3821"/>
      <c r="AS46" s="3821"/>
      <c r="AT46" s="3821"/>
      <c r="AU46" s="3821"/>
      <c r="AV46" s="3821"/>
      <c r="AW46" s="3821"/>
      <c r="AX46" s="3821"/>
      <c r="AY46" s="3821"/>
      <c r="AZ46" s="3821"/>
      <c r="BA46" s="3821"/>
      <c r="BB46" s="3822"/>
      <c r="BC46"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3479" t="str">
        <f>IF(T46="","",T46)</f>
        <v>Наименование тарифа</v>
      </c>
      <c r="BI46" s="3432">
        <v>21</v>
      </c>
    </row>
    <row customHeight="1" ht="22.049999999999997">
      <c r="A47" s="3857" t="s">
        <v>291</v>
      </c>
      <c r="B47" s="3857" t="s">
        <v>292</v>
      </c>
      <c r="E47" s="3824"/>
      <c r="F47" s="3817">
        <v>1</v>
      </c>
      <c r="Q47" s="3890"/>
      <c r="R47" s="3826"/>
      <c r="S47" s="3818" t="str">
        <f>INDEX(PT_DIFFERENTIATION_NUM_TER,MATCH(B47,PT_DIFFERENTIATION_TER_ID,0))</f>
        <v>.</v>
      </c>
      <c r="T47" s="3827" t="s">
        <v>412</v>
      </c>
      <c r="U47" s="3819"/>
      <c r="V47" s="3821"/>
      <c r="W47" s="3821"/>
      <c r="X47" s="3821"/>
      <c r="Y47" s="3821"/>
      <c r="Z47" s="3821"/>
      <c r="AA47" s="3821"/>
      <c r="AB47" s="3821"/>
      <c r="AC47" s="3822"/>
      <c r="AD47" s="3820" t="str">
        <f>INDEX(PT_DIFFERENTIATION_TER,MATCH(B47,PT_DIFFERENTIATION_TER_ID,0))</f>
        <v/>
      </c>
      <c r="AE47" s="3821"/>
      <c r="AF47" s="3821"/>
      <c r="AG47" s="3821"/>
      <c r="AH47" s="3821"/>
      <c r="AI47" s="3821"/>
      <c r="AJ47" s="3821"/>
      <c r="AK47" s="3821"/>
      <c r="AL47" s="3821"/>
      <c r="AM47" s="3821"/>
      <c r="AN47" s="3821"/>
      <c r="AO47" s="3821"/>
      <c r="AP47" s="3821"/>
      <c r="AQ47" s="3821"/>
      <c r="AR47" s="3821"/>
      <c r="AS47" s="3821"/>
      <c r="AT47" s="3821"/>
      <c r="AU47" s="3821"/>
      <c r="AV47" s="3821"/>
      <c r="AW47" s="3821"/>
      <c r="AX47" s="3821"/>
      <c r="AY47" s="3821"/>
      <c r="AZ47" s="3821"/>
      <c r="BA47" s="3821"/>
      <c r="BB47" s="3822"/>
      <c r="BC47" s="3823" t="s">
        <v>413</v>
      </c>
      <c r="BF47" s="3479" t="str">
        <f>IF(T47="","",T47)</f>
        <v>Территория действия тарифа</v>
      </c>
      <c r="BI47" s="3432">
        <v>21</v>
      </c>
    </row>
    <row customHeight="1" ht="35.699999999999996">
      <c r="A48" s="3857" t="s">
        <v>291</v>
      </c>
      <c r="B48" s="3857" t="s">
        <v>292</v>
      </c>
      <c r="C48" s="3857" t="s">
        <v>293</v>
      </c>
      <c r="E48" s="3824"/>
      <c r="F48" s="3824"/>
      <c r="G48" s="3817">
        <v>1</v>
      </c>
      <c r="Q48" s="3890"/>
      <c r="R48" s="3826"/>
      <c r="S48" s="3818" t="str">
        <f>INDEX(PT_DIFFERENTIATION_NUM_CS,MATCH(C48,PT_DIFFERENTIATION_CS_ID,0))</f>
        <v>..</v>
      </c>
      <c r="T48" s="3828" t="s">
        <v>531</v>
      </c>
      <c r="U48" s="3819"/>
      <c r="V48" s="3821"/>
      <c r="W48" s="3821"/>
      <c r="X48" s="3821"/>
      <c r="Y48" s="3821"/>
      <c r="Z48" s="3821"/>
      <c r="AA48" s="3821"/>
      <c r="AB48" s="3821"/>
      <c r="AC48" s="3822"/>
      <c r="AD48" s="3820" t="str">
        <f>INDEX(PT_DIFFERENTIATION_CS,MATCH(C48,PT_DIFFERENTIATION_CS_ID,0))</f>
        <v/>
      </c>
      <c r="AE48" s="3821"/>
      <c r="AF48" s="3821"/>
      <c r="AG48" s="3821"/>
      <c r="AH48" s="3821"/>
      <c r="AI48" s="3821"/>
      <c r="AJ48" s="3821"/>
      <c r="AK48" s="3821"/>
      <c r="AL48" s="3821"/>
      <c r="AM48" s="3821"/>
      <c r="AN48" s="3821"/>
      <c r="AO48" s="3821"/>
      <c r="AP48" s="3821"/>
      <c r="AQ48" s="3821"/>
      <c r="AR48" s="3821"/>
      <c r="AS48" s="3821"/>
      <c r="AT48" s="3821"/>
      <c r="AU48" s="3821"/>
      <c r="AV48" s="3821"/>
      <c r="AW48" s="3821"/>
      <c r="AX48" s="3821"/>
      <c r="AY48" s="3821"/>
      <c r="AZ48" s="3821"/>
      <c r="BA48" s="3821"/>
      <c r="BB48" s="3822"/>
      <c r="BC48" s="3823" t="s">
        <v>532</v>
      </c>
      <c r="BF48" s="3479" t="str">
        <f>IF(T48="","",T48)</f>
        <v>Наименование централизованной системы водоотведения</v>
      </c>
      <c r="BI48" s="3432">
        <v>34</v>
      </c>
    </row>
    <row customHeight="1" ht="0">
      <c r="A49" s="3470" t="s">
        <v>291</v>
      </c>
      <c r="B49" s="3470" t="s">
        <v>292</v>
      </c>
      <c r="C49" s="3470" t="s">
        <v>293</v>
      </c>
      <c r="D49" s="3470" t="s">
        <v>544</v>
      </c>
      <c r="E49" s="3824"/>
      <c r="F49" s="3824"/>
      <c r="G49" s="3824"/>
      <c r="H49" s="3817">
        <v>1</v>
      </c>
      <c r="Q49" s="3942"/>
      <c r="R49" s="3836"/>
      <c r="S49" s="3582"/>
      <c r="T49" s="3943"/>
      <c r="U49" s="3861"/>
      <c r="V49" s="3863"/>
      <c r="W49" s="3863"/>
      <c r="X49" s="3863"/>
      <c r="Y49" s="3863"/>
      <c r="Z49" s="3863"/>
      <c r="AA49" s="3863"/>
      <c r="AB49" s="3863"/>
      <c r="AC49" s="3864"/>
      <c r="AD49" s="3862"/>
      <c r="AE49" s="3863"/>
      <c r="AF49" s="3863"/>
      <c r="AG49" s="3863"/>
      <c r="AH49" s="3863"/>
      <c r="AI49" s="3863"/>
      <c r="AJ49" s="3863"/>
      <c r="AK49" s="3863"/>
      <c r="AL49" s="3863"/>
      <c r="AM49" s="3863"/>
      <c r="AN49" s="3863"/>
      <c r="AO49" s="3863"/>
      <c r="AP49" s="3863"/>
      <c r="AQ49" s="3863"/>
      <c r="AR49" s="3863"/>
      <c r="AS49" s="3863"/>
      <c r="AT49" s="3863"/>
      <c r="AU49" s="3863"/>
      <c r="AV49" s="3863"/>
      <c r="AW49" s="3863"/>
      <c r="AX49" s="3863"/>
      <c r="AY49" s="3863"/>
      <c r="AZ49" s="3863"/>
      <c r="BA49" s="3863"/>
      <c r="BB49" s="3864"/>
      <c r="BC49" s="3865" t="s">
        <v>417</v>
      </c>
      <c r="BF49" s="3479" t="str">
        <f>IF(T49="","",T49)</f>
        <v/>
      </c>
      <c r="BI49" s="3473">
        <v>0</v>
      </c>
    </row>
    <row customHeight="1" ht="0">
      <c r="A50" s="3470" t="s">
        <v>291</v>
      </c>
      <c r="B50" s="3470" t="s">
        <v>292</v>
      </c>
      <c r="C50" s="3470" t="s">
        <v>293</v>
      </c>
      <c r="D50" s="3470" t="s">
        <v>544</v>
      </c>
      <c r="E50" s="3824"/>
      <c r="F50" s="3824"/>
      <c r="G50" s="3824"/>
      <c r="H50" s="3824"/>
      <c r="I50" s="3711" t="str">
        <f>S49&amp;".1"</f>
        <v>.1</v>
      </c>
      <c r="L50" s="3866" t="s">
        <v>418</v>
      </c>
      <c r="P50" s="3471">
        <v>1</v>
      </c>
      <c r="R50" s="3831"/>
      <c r="S50" s="3582"/>
      <c r="T50" s="3860"/>
      <c r="U50" s="3861"/>
      <c r="V50" s="3863"/>
      <c r="W50" s="3863"/>
      <c r="X50" s="3863"/>
      <c r="Y50" s="3863"/>
      <c r="Z50" s="3863"/>
      <c r="AA50" s="3863"/>
      <c r="AB50" s="3863"/>
      <c r="AC50" s="3864"/>
      <c r="AD50" s="3862"/>
      <c r="AE50" s="3863"/>
      <c r="AF50" s="3863"/>
      <c r="AG50" s="3863"/>
      <c r="AH50" s="3863"/>
      <c r="AI50" s="3863"/>
      <c r="AJ50" s="3863"/>
      <c r="AK50" s="3863"/>
      <c r="AL50" s="3863"/>
      <c r="AM50" s="3863"/>
      <c r="AN50" s="3863"/>
      <c r="AO50" s="3863"/>
      <c r="AP50" s="3863"/>
      <c r="AQ50" s="3863"/>
      <c r="AR50" s="3863"/>
      <c r="AS50" s="3863"/>
      <c r="AT50" s="3863"/>
      <c r="AU50" s="3863"/>
      <c r="AV50" s="3863"/>
      <c r="AW50" s="3863"/>
      <c r="AX50" s="3863"/>
      <c r="AY50" s="3863"/>
      <c r="AZ50" s="3863"/>
      <c r="BA50" s="3863"/>
      <c r="BB50" s="3864"/>
      <c r="BC50" s="3865"/>
      <c r="BF50" s="3479" t="str">
        <f>IF(T50="","",T50)</f>
        <v/>
      </c>
      <c r="BI50" s="3473">
        <v>0</v>
      </c>
    </row>
    <row customHeight="1" ht="0">
      <c r="A51" s="3470" t="s">
        <v>291</v>
      </c>
      <c r="B51" s="3470" t="s">
        <v>292</v>
      </c>
      <c r="C51" s="3470" t="s">
        <v>293</v>
      </c>
      <c r="D51" s="3470" t="s">
        <v>544</v>
      </c>
      <c r="E51" s="3824"/>
      <c r="F51" s="3824"/>
      <c r="G51" s="3824"/>
      <c r="H51" s="3824"/>
      <c r="I51" s="3835"/>
      <c r="J51" s="3711" t="str">
        <f>S49&amp;".1"</f>
        <v>.1</v>
      </c>
      <c r="Q51" s="3471">
        <v>1</v>
      </c>
      <c r="R51" s="3836"/>
      <c r="S51" s="3582"/>
      <c r="T51" s="3891"/>
      <c r="U51" s="3861"/>
      <c r="V51" s="3863"/>
      <c r="W51" s="3863"/>
      <c r="X51" s="3863"/>
      <c r="Y51" s="3863"/>
      <c r="Z51" s="3863"/>
      <c r="AA51" s="3863"/>
      <c r="AB51" s="3863"/>
      <c r="AC51" s="3864"/>
      <c r="AD51" s="3862"/>
      <c r="AE51" s="3863"/>
      <c r="AF51" s="3863"/>
      <c r="AG51" s="3863"/>
      <c r="AH51" s="3863"/>
      <c r="AI51" s="3863"/>
      <c r="AJ51" s="3863"/>
      <c r="AK51" s="3863"/>
      <c r="AL51" s="3863"/>
      <c r="AM51" s="3863"/>
      <c r="AN51" s="3944"/>
      <c r="AO51" s="3944"/>
      <c r="AP51" s="3863"/>
      <c r="AQ51" s="3863"/>
      <c r="AR51" s="3863"/>
      <c r="AS51" s="3863"/>
      <c r="AT51" s="3863"/>
      <c r="AU51" s="3863"/>
      <c r="AV51" s="3863"/>
      <c r="AW51" s="3863"/>
      <c r="AX51" s="3863"/>
      <c r="AY51" s="3863"/>
      <c r="AZ51" s="3863"/>
      <c r="BA51" s="3863"/>
      <c r="BB51" s="3864"/>
      <c r="BC51" s="3865"/>
      <c r="BF51" s="3479" t="str">
        <f>IF(T51="","",T51)</f>
        <v/>
      </c>
      <c r="BI51" s="3473">
        <v>0</v>
      </c>
    </row>
    <row customHeight="1" ht="11.549999999999999">
      <c r="A52" s="3857" t="s">
        <v>291</v>
      </c>
      <c r="B52" s="3857" t="s">
        <v>292</v>
      </c>
      <c r="C52" s="3857" t="s">
        <v>293</v>
      </c>
      <c r="D52" s="3857" t="s">
        <v>544</v>
      </c>
      <c r="E52" s="3824"/>
      <c r="F52" s="3824"/>
      <c r="G52" s="3824"/>
      <c r="H52" s="3824"/>
      <c r="I52" s="3835"/>
      <c r="J52" s="3835"/>
      <c r="K52" s="3711" t="str">
        <f>S48&amp;".1"</f>
        <v>...1</v>
      </c>
      <c r="R52" s="3836">
        <v>1</v>
      </c>
      <c r="S52" s="3867" t="str">
        <f>$K52</f>
        <v>...1</v>
      </c>
      <c r="T52" s="986"/>
      <c r="U52" s="3819"/>
      <c r="V52" s="838"/>
      <c r="W52" s="840"/>
      <c r="X52" s="838"/>
      <c r="Y52" s="840"/>
      <c r="Z52" s="572"/>
      <c r="AA52" s="210" t="s">
        <v>61</v>
      </c>
      <c r="AB52" s="572"/>
      <c r="AC52" s="210" t="s">
        <v>61</v>
      </c>
      <c r="AD52" s="289" t="s">
        <v>61</v>
      </c>
      <c r="AE52" s="3893"/>
      <c r="AF52" s="314">
        <v>1</v>
      </c>
      <c r="AG52" s="987"/>
      <c r="AH52" s="210" t="s">
        <v>61</v>
      </c>
      <c r="AI52" s="3893"/>
      <c r="AJ52" s="314">
        <v>1</v>
      </c>
      <c r="AK52" s="97" t="s">
        <v>22</v>
      </c>
      <c r="AL52" s="210" t="s">
        <v>61</v>
      </c>
      <c r="AM52" s="3555"/>
      <c r="AN52" s="314">
        <v>1</v>
      </c>
      <c r="AO52" s="1039"/>
      <c r="AP52" s="1040" t="s">
        <v>61</v>
      </c>
      <c r="AQ52" s="3894"/>
      <c r="AR52" s="314">
        <v>1</v>
      </c>
      <c r="AS52" s="107" t="s">
        <v>22</v>
      </c>
      <c r="AT52" s="838"/>
      <c r="AU52" s="840"/>
      <c r="AV52" s="838"/>
      <c r="AW52" s="840"/>
      <c r="AX52" s="572"/>
      <c r="AY52" s="210" t="s">
        <v>61</v>
      </c>
      <c r="AZ52" s="572"/>
      <c r="BA52" s="210" t="s">
        <v>61</v>
      </c>
      <c r="BB52" s="882"/>
      <c r="BC52" s="3839" t="s">
        <v>516</v>
      </c>
      <c r="BF52" s="3479" t="str">
        <f>IF(T52="","",T52)</f>
        <v/>
      </c>
      <c r="BI52" s="3432">
        <v>11</v>
      </c>
    </row>
    <row customHeight="1" ht="11.549999999999999">
      <c r="E53" s="3824"/>
      <c r="F53" s="3824"/>
      <c r="G53" s="3824"/>
      <c r="H53" s="3824"/>
      <c r="I53" s="3835"/>
      <c r="J53" s="3835"/>
      <c r="K53" s="3711"/>
      <c r="R53" s="3836"/>
      <c r="S53" s="3895"/>
      <c r="T53" s="1041"/>
      <c r="U53" s="3819"/>
      <c r="V53" s="925"/>
      <c r="W53" s="943"/>
      <c r="X53" s="925"/>
      <c r="Y53" s="943"/>
      <c r="Z53" s="925"/>
      <c r="AA53" s="925"/>
      <c r="AB53" s="925"/>
      <c r="AC53" s="925"/>
      <c r="AD53" s="295"/>
      <c r="AE53" s="3893"/>
      <c r="AF53" s="314"/>
      <c r="AG53" s="987"/>
      <c r="AH53" s="210"/>
      <c r="AI53" s="3893"/>
      <c r="AJ53" s="314"/>
      <c r="AK53" s="97"/>
      <c r="AL53" s="210"/>
      <c r="AM53" s="3561"/>
      <c r="AN53" s="314"/>
      <c r="AO53" s="1039"/>
      <c r="AP53" s="1042"/>
      <c r="AQ53" s="697"/>
      <c r="AR53" s="172"/>
      <c r="AS53" s="172" t="s">
        <v>517</v>
      </c>
      <c r="AT53" s="925"/>
      <c r="AU53" s="943"/>
      <c r="AV53" s="925"/>
      <c r="AW53" s="943"/>
      <c r="AX53" s="925"/>
      <c r="AY53" s="925"/>
      <c r="AZ53" s="925"/>
      <c r="BA53" s="925"/>
      <c r="BB53" s="942"/>
      <c r="BC53" s="3840"/>
      <c r="BI53" s="3432">
        <v>11</v>
      </c>
    </row>
    <row customHeight="1" ht="11.549999999999999">
      <c r="A54" s="3857" t="s">
        <v>291</v>
      </c>
      <c r="E54" s="3824"/>
      <c r="F54" s="3824"/>
      <c r="G54" s="3824"/>
      <c r="H54" s="3824"/>
      <c r="I54" s="3835"/>
      <c r="J54" s="3835"/>
      <c r="K54" s="3711"/>
      <c r="R54" s="3836"/>
      <c r="S54" s="3895"/>
      <c r="T54" s="1041"/>
      <c r="U54" s="3819"/>
      <c r="V54" s="925"/>
      <c r="W54" s="943"/>
      <c r="X54" s="925"/>
      <c r="Y54" s="943"/>
      <c r="Z54" s="925"/>
      <c r="AA54" s="925"/>
      <c r="AB54" s="925"/>
      <c r="AC54" s="925"/>
      <c r="AD54" s="295"/>
      <c r="AE54" s="3893"/>
      <c r="AF54" s="314"/>
      <c r="AG54" s="987"/>
      <c r="AH54" s="210"/>
      <c r="AI54" s="3893"/>
      <c r="AJ54" s="314"/>
      <c r="AK54" s="97"/>
      <c r="AL54" s="210"/>
      <c r="AM54" s="697"/>
      <c r="AN54" s="791"/>
      <c r="AO54" s="791" t="s">
        <v>537</v>
      </c>
      <c r="AP54" s="172"/>
      <c r="AQ54" s="172"/>
      <c r="AR54" s="172"/>
      <c r="AS54" s="925"/>
      <c r="AT54" s="925"/>
      <c r="AU54" s="943"/>
      <c r="AV54" s="925"/>
      <c r="AW54" s="943"/>
      <c r="AX54" s="925"/>
      <c r="AY54" s="925"/>
      <c r="AZ54" s="925"/>
      <c r="BA54" s="925"/>
      <c r="BB54" s="942"/>
      <c r="BC54" s="3840"/>
      <c r="BI54" s="3432">
        <v>11</v>
      </c>
    </row>
    <row customHeight="1" ht="11.549999999999999">
      <c r="A55" s="3857" t="s">
        <v>291</v>
      </c>
      <c r="E55" s="3824"/>
      <c r="F55" s="3824"/>
      <c r="G55" s="3824"/>
      <c r="H55" s="3824"/>
      <c r="I55" s="3835"/>
      <c r="J55" s="3835"/>
      <c r="K55" s="3711"/>
      <c r="R55" s="3836"/>
      <c r="S55" s="3895"/>
      <c r="T55" s="1041"/>
      <c r="U55" s="3819"/>
      <c r="V55" s="925"/>
      <c r="W55" s="943"/>
      <c r="X55" s="925"/>
      <c r="Y55" s="943"/>
      <c r="Z55" s="925"/>
      <c r="AA55" s="925"/>
      <c r="AB55" s="925"/>
      <c r="AC55" s="925"/>
      <c r="AD55" s="295"/>
      <c r="AE55" s="3893"/>
      <c r="AF55" s="314"/>
      <c r="AG55" s="987"/>
      <c r="AH55" s="210"/>
      <c r="AI55" s="945"/>
      <c r="AJ55" s="167"/>
      <c r="AK55" s="406" t="s">
        <v>538</v>
      </c>
      <c r="AL55" s="925"/>
      <c r="AM55" s="925"/>
      <c r="AN55" s="925"/>
      <c r="AO55" s="925"/>
      <c r="AP55" s="925"/>
      <c r="AQ55" s="925"/>
      <c r="AR55" s="925"/>
      <c r="AS55" s="925"/>
      <c r="AT55" s="925"/>
      <c r="AU55" s="943"/>
      <c r="AV55" s="925"/>
      <c r="AW55" s="943"/>
      <c r="AX55" s="925"/>
      <c r="AY55" s="925"/>
      <c r="AZ55" s="925"/>
      <c r="BA55" s="925"/>
      <c r="BB55" s="942"/>
      <c r="BC55" s="3840"/>
      <c r="BI55" s="3432">
        <v>11</v>
      </c>
    </row>
    <row customHeight="1" ht="11.549999999999999">
      <c r="A56" s="3857" t="s">
        <v>291</v>
      </c>
      <c r="B56" s="3857" t="s">
        <v>292</v>
      </c>
      <c r="C56" s="3857" t="s">
        <v>293</v>
      </c>
      <c r="D56" s="3857" t="s">
        <v>544</v>
      </c>
      <c r="E56" s="3824"/>
      <c r="F56" s="3824"/>
      <c r="G56" s="3824"/>
      <c r="H56" s="3824"/>
      <c r="I56" s="3835"/>
      <c r="J56" s="3835"/>
      <c r="K56" s="3711"/>
      <c r="R56" s="3836"/>
      <c r="S56" s="3876"/>
      <c r="T56" s="1043"/>
      <c r="U56" s="3819"/>
      <c r="V56" s="925"/>
      <c r="W56" s="926" t="str">
        <f>Z52&amp;"-"&amp;AB52</f>
        <v>-</v>
      </c>
      <c r="X56" s="925"/>
      <c r="Y56" s="926" t="str">
        <f>AB52&amp;"-"&amp;AD52</f>
        <v>-да</v>
      </c>
      <c r="Z56" s="925"/>
      <c r="AA56" s="925"/>
      <c r="AB56" s="925"/>
      <c r="AC56" s="925"/>
      <c r="AD56" s="206"/>
      <c r="AE56" s="948"/>
      <c r="AF56" s="949"/>
      <c r="AG56" s="172" t="s">
        <v>520</v>
      </c>
      <c r="AH56" s="925"/>
      <c r="AI56" s="925"/>
      <c r="AJ56" s="925"/>
      <c r="AK56" s="925"/>
      <c r="AL56" s="925"/>
      <c r="AM56" s="925"/>
      <c r="AN56" s="925"/>
      <c r="AO56" s="925"/>
      <c r="AP56" s="925"/>
      <c r="AQ56" s="925"/>
      <c r="AR56" s="925"/>
      <c r="AS56" s="925"/>
      <c r="AT56" s="925"/>
      <c r="AU56" s="926" t="str">
        <f>AX52&amp;"-"&amp;AZ52</f>
        <v>-</v>
      </c>
      <c r="AV56" s="925"/>
      <c r="AW56" s="926" t="str">
        <f>AZ52&amp;"-"&amp;BB52</f>
        <v>-</v>
      </c>
      <c r="AX56" s="925"/>
      <c r="AY56" s="925"/>
      <c r="AZ56" s="925"/>
      <c r="BA56" s="925"/>
      <c r="BB56" s="947" t="str">
        <f>BE52&amp;"-"&amp;BG52</f>
        <v>-</v>
      </c>
      <c r="BC56" s="3840"/>
      <c r="BF56" s="3479" t="str">
        <f>IF(T56="","",T56)</f>
        <v/>
      </c>
      <c r="BI56" s="3432">
        <v>11</v>
      </c>
    </row>
    <row customHeight="1" ht="11.549999999999999">
      <c r="A57" s="3857" t="s">
        <v>291</v>
      </c>
      <c r="B57" s="3857" t="s">
        <v>292</v>
      </c>
      <c r="C57" s="3857" t="s">
        <v>293</v>
      </c>
      <c r="D57" s="3857" t="s">
        <v>544</v>
      </c>
      <c r="E57" s="3824"/>
      <c r="F57" s="3824"/>
      <c r="G57" s="3824"/>
      <c r="H57" s="3824"/>
      <c r="I57" s="3835"/>
      <c r="J57" s="3711"/>
      <c r="R57" s="3831"/>
      <c r="S57" s="844"/>
      <c r="T57" s="848" t="s">
        <v>483</v>
      </c>
      <c r="U57" s="200"/>
      <c r="V57" s="200"/>
      <c r="W57" s="200"/>
      <c r="X57" s="200"/>
      <c r="Y57" s="200"/>
      <c r="Z57" s="200"/>
      <c r="AA57" s="200"/>
      <c r="AB57" s="200"/>
      <c r="AC57" s="846"/>
      <c r="AD57" s="971"/>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846"/>
      <c r="BC57" s="3841"/>
      <c r="BF57" s="3479" t="str">
        <f>IF(T57="","",T57)</f>
        <v>Добавить строку</v>
      </c>
      <c r="BI57" s="3432">
        <v>11</v>
      </c>
    </row>
    <row customHeight="1" ht="0">
      <c r="A58" s="3470" t="s">
        <v>291</v>
      </c>
      <c r="B58" s="3470" t="s">
        <v>292</v>
      </c>
      <c r="C58" s="3470" t="s">
        <v>293</v>
      </c>
      <c r="D58" s="3470" t="s">
        <v>544</v>
      </c>
      <c r="E58" s="3824"/>
      <c r="F58" s="3824"/>
      <c r="G58" s="3824"/>
      <c r="H58" s="3824"/>
      <c r="I58" s="3711"/>
      <c r="R58" s="3831"/>
      <c r="S58" s="894"/>
      <c r="T58" s="895"/>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7"/>
      <c r="BF58" s="3479" t="str">
        <f>IF(T58="","",T58)</f>
        <v/>
      </c>
      <c r="BI58" s="3473">
        <v>0</v>
      </c>
    </row>
    <row customHeight="1" ht="0">
      <c r="A59" s="3470" t="s">
        <v>291</v>
      </c>
      <c r="B59" s="3470" t="s">
        <v>292</v>
      </c>
      <c r="C59" s="3470" t="s">
        <v>293</v>
      </c>
      <c r="D59" s="3470" t="s">
        <v>544</v>
      </c>
      <c r="E59" s="3824"/>
      <c r="F59" s="3824"/>
      <c r="G59" s="3824"/>
      <c r="H59" s="3817"/>
      <c r="R59" s="950"/>
      <c r="S59" s="894"/>
      <c r="T59" s="895"/>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BB59" s="896"/>
      <c r="BC59" s="897"/>
      <c r="BF59" s="3479" t="str">
        <f>IF(T59="","",T59)</f>
        <v/>
      </c>
      <c r="BI59" s="3473">
        <v>0</v>
      </c>
    </row>
    <row customHeight="1" ht="0">
      <c r="A60" s="3470" t="s">
        <v>291</v>
      </c>
      <c r="B60" s="3470" t="s">
        <v>292</v>
      </c>
      <c r="C60" s="3470" t="s">
        <v>293</v>
      </c>
      <c r="E60" s="3824"/>
      <c r="F60" s="3824"/>
      <c r="G60" s="3817"/>
      <c r="BF60" s="3479" t="str">
        <f>IF(T60="","",T60)</f>
        <v/>
      </c>
      <c r="BI60" s="3473">
        <v>0</v>
      </c>
    </row>
    <row customHeight="1" ht="0">
      <c r="A61" s="3470" t="s">
        <v>291</v>
      </c>
      <c r="B61" s="3470" t="s">
        <v>292</v>
      </c>
      <c r="E61" s="3824"/>
      <c r="F61" s="3817"/>
      <c r="T61" s="856" t="s">
        <v>430</v>
      </c>
      <c r="BF61" s="3479" t="str">
        <f>IF(T61="","",T61)</f>
        <v>Добавить централизованную систему для дифференциации</v>
      </c>
      <c r="BI61" s="3473">
        <v>0</v>
      </c>
    </row>
    <row customHeight="1" ht="0">
      <c r="A62" s="3470" t="s">
        <v>291</v>
      </c>
      <c r="E62" s="3817"/>
      <c r="T62" s="856" t="s">
        <v>431</v>
      </c>
      <c r="BF62" s="3479" t="str">
        <f>IF(T62="","",T62)</f>
        <v>Добавить территорию для дифференциации</v>
      </c>
      <c r="BI62" s="3473">
        <v>0</v>
      </c>
    </row>
    <row customHeight="1" ht="0">
      <c r="T63" s="856" t="s">
        <v>463</v>
      </c>
      <c r="BF63" s="3479" t="str">
        <f>IF(T63="","",T63)</f>
        <v>Добавить наименование тарифа</v>
      </c>
      <c r="BI63" s="3473">
        <v>0</v>
      </c>
    </row>
    <row customHeight="1" ht="11.549999999999999">
      <c r="BI64" s="3432">
        <v>11</v>
      </c>
    </row>
    <row customHeight="1" ht="14.699999999999998">
      <c r="BI65" s="3432">
        <v>14</v>
      </c>
    </row>
    <row customHeight="1" ht="14.699999999999998">
      <c r="BI66" s="3432">
        <v>14</v>
      </c>
    </row>
    <row customHeight="1" ht="14.699999999999998">
      <c r="BI67" s="3432">
        <v>14</v>
      </c>
    </row>
    <row customHeight="1" ht="14.699999999999998">
      <c r="BI68" s="3432">
        <v>14</v>
      </c>
    </row>
    <row customHeight="1" ht="14.25" hidden="1">
      <c r="A69" s="3449" t="s">
        <v>80</v>
      </c>
      <c r="B69" s="3449">
        <v>0</v>
      </c>
      <c r="C69" s="3449">
        <v>0</v>
      </c>
      <c r="D69" s="3449">
        <v>0</v>
      </c>
      <c r="E69" s="3449">
        <v>0</v>
      </c>
      <c r="F69" s="3449">
        <v>0</v>
      </c>
      <c r="G69" s="3449">
        <v>0</v>
      </c>
      <c r="H69" s="3449">
        <v>0</v>
      </c>
      <c r="I69" s="3449">
        <v>0</v>
      </c>
      <c r="J69" s="3449">
        <v>0</v>
      </c>
      <c r="K69" s="3449">
        <v>0</v>
      </c>
      <c r="L69" s="3618">
        <v>0</v>
      </c>
      <c r="M69" s="105">
        <v>0</v>
      </c>
      <c r="N69" s="105">
        <v>0</v>
      </c>
      <c r="O69" s="105">
        <v>0</v>
      </c>
      <c r="P69" s="105">
        <v>0</v>
      </c>
      <c r="Q69" s="3913">
        <v>0</v>
      </c>
      <c r="R69" s="3797">
        <v>3</v>
      </c>
      <c r="S69" s="3447">
        <v>12</v>
      </c>
      <c r="T69" s="3432">
        <v>31</v>
      </c>
      <c r="U69" s="3432">
        <v>0</v>
      </c>
      <c r="V69" s="3432">
        <v>0</v>
      </c>
      <c r="W69" s="3432">
        <v>0</v>
      </c>
      <c r="X69" s="3432">
        <v>0</v>
      </c>
      <c r="Y69" s="3432">
        <v>0</v>
      </c>
      <c r="Z69" s="3432">
        <v>0</v>
      </c>
      <c r="AA69" s="3432">
        <v>0</v>
      </c>
      <c r="AB69" s="3432">
        <v>0</v>
      </c>
      <c r="AC69" s="3432">
        <v>0</v>
      </c>
      <c r="AD69" s="3432">
        <v>3</v>
      </c>
      <c r="AE69" s="3432">
        <v>3</v>
      </c>
      <c r="AF69" s="3432">
        <v>3</v>
      </c>
      <c r="AG69" s="3432">
        <v>24</v>
      </c>
      <c r="AH69" s="3432">
        <v>3</v>
      </c>
      <c r="AI69" s="3432">
        <v>3</v>
      </c>
      <c r="AJ69" s="3432">
        <v>3</v>
      </c>
      <c r="AK69" s="3432">
        <v>24</v>
      </c>
      <c r="AL69" s="3432">
        <v>3</v>
      </c>
      <c r="AM69" s="3432">
        <v>3</v>
      </c>
      <c r="AN69" s="3432">
        <v>3</v>
      </c>
      <c r="AO69" s="3432">
        <v>18</v>
      </c>
      <c r="AP69" s="3432">
        <v>3</v>
      </c>
      <c r="AQ69" s="3432">
        <v>3</v>
      </c>
      <c r="AR69" s="3432">
        <v>3</v>
      </c>
      <c r="AS69" s="3432">
        <v>18</v>
      </c>
      <c r="AT69" s="3432">
        <v>21</v>
      </c>
      <c r="AU69" s="3432">
        <v>21</v>
      </c>
      <c r="AV69" s="3432">
        <v>21</v>
      </c>
      <c r="AW69" s="3432">
        <v>21</v>
      </c>
      <c r="AX69" s="3432">
        <v>11</v>
      </c>
      <c r="AY69" s="3432">
        <v>3</v>
      </c>
      <c r="AZ69" s="3432">
        <v>11</v>
      </c>
      <c r="BA69" s="3432">
        <v>0</v>
      </c>
      <c r="BB69" s="3432">
        <v>4</v>
      </c>
      <c r="BC69" s="3432">
        <v>115</v>
      </c>
      <c r="BD69" s="3473">
        <v>10</v>
      </c>
      <c r="BE69" s="3473">
        <v>10</v>
      </c>
      <c r="BF69" s="3473">
        <v>10</v>
      </c>
      <c r="BG69" s="3473">
        <v>10</v>
      </c>
      <c r="BH69" s="3473">
        <v>10</v>
      </c>
      <c r="BI69" s="34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09157-2A04-DC35-CDC7-1A3C3EE6B69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4.140625" hidden="1" customWidth="1"/>
    <col min="10" max="10" style="7348" width="9.8515625" hidden="1" customWidth="1"/>
    <col min="11" max="11" style="7348" width="14.71093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8" style="7348" width="19.7109375" hidden="1" customWidth="1"/>
    <col min="29" max="29" style="7348" width="11.7109375" hidden="1" customWidth="1"/>
    <col min="30" max="30" style="7348" width="3.7109375" hidden="1" customWidth="1"/>
    <col min="31" max="31" style="7348" width="11.7109375" hidden="1" customWidth="1"/>
    <col min="32" max="32" style="7348" width="8.57421875" hidden="1" customWidth="1"/>
    <col min="33" max="33" style="7348" width="19.7109375" customWidth="1"/>
    <col min="34" max="39" style="7348" width="19.00390625" customWidth="1"/>
    <col min="40" max="40" style="7348" width="11.00390625" customWidth="1"/>
    <col min="41" max="41" style="7348" width="3.7109375" customWidth="1"/>
    <col min="42" max="42" style="7348" width="11.00390625" customWidth="1"/>
    <col min="43" max="43" style="7348" width="8.57421875" hidden="1" customWidth="1"/>
    <col min="44" max="44" style="7348" width="4.00390625" customWidth="1"/>
    <col min="45" max="45" style="7348" width="115.00390625" customWidth="1"/>
    <col min="46" max="50" style="7348" width="10.00390625" customWidth="1"/>
    <col min="51" max="51" style="7348" width="10.57421875" hidden="1"/>
  </cols>
  <sheetData>
    <row customHeight="1" ht="22.5" hidden="1">
      <c r="AY1" s="3432" t="s">
        <v>14</v>
      </c>
    </row>
    <row customHeight="1" ht="23.25" hidden="1">
      <c r="E2" s="3817">
        <v>1</v>
      </c>
      <c r="R2" s="816"/>
      <c r="S2" s="3818">
        <f>INDEX(PT_DIFFERENTIATION_NUM_NTAR,MATCH(A2,PT_DIFFERENTIATION_NTAR_ID,0))</f>
      </c>
      <c r="T2" s="3764" t="s">
        <v>141</v>
      </c>
      <c r="U2" s="3819"/>
      <c r="V2" s="3820"/>
      <c r="W2" s="3821"/>
      <c r="X2" s="3821"/>
      <c r="Y2" s="3821"/>
      <c r="Z2" s="3821"/>
      <c r="AA2" s="3821"/>
      <c r="AB2" s="3821"/>
      <c r="AC2" s="3821"/>
      <c r="AD2" s="3821"/>
      <c r="AE2" s="3821"/>
      <c r="AF2" s="3822"/>
      <c r="AG2" s="3820">
        <f>INDEX(PT_DIFFERENTIATION_NTAR,MATCH(A2,PT_DIFFERENTIATION_NTAR_ID,0))</f>
      </c>
      <c r="AH2" s="3821"/>
      <c r="AI2" s="3821"/>
      <c r="AJ2" s="3821"/>
      <c r="AK2" s="3821"/>
      <c r="AL2" s="3821"/>
      <c r="AM2" s="3821"/>
      <c r="AN2" s="3821"/>
      <c r="AO2" s="3821"/>
      <c r="AP2" s="3821"/>
      <c r="AQ2" s="3821"/>
      <c r="AR2" s="3822"/>
      <c r="AS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3479" t="str">
        <f>IF(T2="","",T2)</f>
        <v>Наименование тарифа</v>
      </c>
      <c r="AY2" s="3432">
        <v>0</v>
      </c>
    </row>
    <row customHeight="1" ht="23.25" hidden="1">
      <c r="E3" s="3824"/>
      <c r="F3" s="3817">
        <v>1</v>
      </c>
      <c r="Q3" s="3825"/>
      <c r="R3" s="3826"/>
      <c r="S3" s="3818">
        <f>INDEX(PT_DIFFERENTIATION_NUM_TER,MATCH(B3,PT_DIFFERENTIATION_TER_ID,0))</f>
      </c>
      <c r="T3" s="3827" t="s">
        <v>412</v>
      </c>
      <c r="U3" s="3819"/>
      <c r="V3" s="3820"/>
      <c r="W3" s="3821"/>
      <c r="X3" s="3821"/>
      <c r="Y3" s="3821"/>
      <c r="Z3" s="3821"/>
      <c r="AA3" s="3821"/>
      <c r="AB3" s="3821"/>
      <c r="AC3" s="3821"/>
      <c r="AD3" s="3821"/>
      <c r="AE3" s="3821"/>
      <c r="AF3" s="3822"/>
      <c r="AG3" s="3820">
        <f>INDEX(PT_DIFFERENTIATION_TER,MATCH(B3,PT_DIFFERENTIATION_TER_ID,0))</f>
      </c>
      <c r="AH3" s="3821"/>
      <c r="AI3" s="3821"/>
      <c r="AJ3" s="3821"/>
      <c r="AK3" s="3821"/>
      <c r="AL3" s="3821"/>
      <c r="AM3" s="3821"/>
      <c r="AN3" s="3821"/>
      <c r="AO3" s="3821"/>
      <c r="AP3" s="3821"/>
      <c r="AQ3" s="3821"/>
      <c r="AR3" s="3822"/>
      <c r="AS3" s="3823" t="s">
        <v>413</v>
      </c>
      <c r="AV3" s="3479" t="str">
        <f>IF(T3="","",T3)</f>
        <v>Территория действия тарифа</v>
      </c>
      <c r="AY3" s="3432">
        <v>0</v>
      </c>
    </row>
    <row customHeight="1" ht="23.25" hidden="1">
      <c r="E4" s="3824"/>
      <c r="F4" s="3824"/>
      <c r="G4" s="3817">
        <v>1</v>
      </c>
      <c r="Q4" s="3825"/>
      <c r="R4" s="3826"/>
      <c r="S4" s="3818">
        <f>INDEX(PT_DIFFERENTIATION_NUM_CS,MATCH(C4,PT_DIFFERENTIATION_CS_ID,0))</f>
      </c>
      <c r="T4" s="3828" t="s">
        <v>545</v>
      </c>
      <c r="U4" s="3819"/>
      <c r="V4" s="3820"/>
      <c r="W4" s="3821"/>
      <c r="X4" s="3821"/>
      <c r="Y4" s="3821"/>
      <c r="Z4" s="3821"/>
      <c r="AA4" s="3821"/>
      <c r="AB4" s="3821"/>
      <c r="AC4" s="3821"/>
      <c r="AD4" s="3821"/>
      <c r="AE4" s="3821"/>
      <c r="AF4" s="3822"/>
      <c r="AG4" s="3820">
        <f>INDEX(PT_DIFFERENTIATION_CS,MATCH(C4,PT_DIFFERENTIATION_CS_ID,0))</f>
      </c>
      <c r="AH4" s="3821"/>
      <c r="AI4" s="3821"/>
      <c r="AJ4" s="3821"/>
      <c r="AK4" s="3821"/>
      <c r="AL4" s="3821"/>
      <c r="AM4" s="3821"/>
      <c r="AN4" s="3821"/>
      <c r="AO4" s="3821"/>
      <c r="AP4" s="3821"/>
      <c r="AQ4" s="3821"/>
      <c r="AR4" s="3822"/>
      <c r="AS4" s="3823" t="s">
        <v>546</v>
      </c>
      <c r="AV4" s="3479" t="str">
        <f>IF(T4="","",T4)</f>
        <v>Наименование централизованной системы горячего водоснабжения</v>
      </c>
      <c r="AY4" s="3432">
        <v>0</v>
      </c>
    </row>
    <row customHeight="1" ht="23.25" hidden="1">
      <c r="E5" s="3824"/>
      <c r="F5" s="3824"/>
      <c r="G5" s="3824"/>
      <c r="H5" s="3824"/>
      <c r="I5" s="3711">
        <f>S4&amp;".1"</f>
      </c>
      <c r="P5" s="3471">
        <v>1</v>
      </c>
      <c r="R5" s="3831"/>
      <c r="S5" s="3818">
        <f>$I5</f>
      </c>
      <c r="T5" s="3832" t="s">
        <v>498</v>
      </c>
      <c r="U5" s="3819"/>
      <c r="V5" s="3938"/>
      <c r="W5" s="3939"/>
      <c r="X5" s="3939"/>
      <c r="Y5" s="3939"/>
      <c r="Z5" s="3939"/>
      <c r="AA5" s="3939"/>
      <c r="AB5" s="3939"/>
      <c r="AC5" s="3939"/>
      <c r="AD5" s="3939"/>
      <c r="AE5" s="3939"/>
      <c r="AF5" s="3940"/>
      <c r="AG5" s="1018"/>
      <c r="AH5" s="1031"/>
      <c r="AI5" s="1031"/>
      <c r="AJ5" s="1031"/>
      <c r="AK5" s="1031"/>
      <c r="AL5" s="1031"/>
      <c r="AM5" s="1031"/>
      <c r="AN5" s="1031"/>
      <c r="AO5" s="1031"/>
      <c r="AP5" s="1031"/>
      <c r="AQ5" s="1031"/>
      <c r="AR5" s="1032"/>
      <c r="AS5" s="3823" t="s">
        <v>499</v>
      </c>
      <c r="AV5" s="3479" t="str">
        <f>IF(T5="","",T5)</f>
        <v>Наименование признака дифференциации</v>
      </c>
      <c r="AY5" s="3432">
        <v>0</v>
      </c>
    </row>
    <row customHeight="1" ht="23.25" hidden="1">
      <c r="E6" s="3824"/>
      <c r="F6" s="3824"/>
      <c r="G6" s="3824"/>
      <c r="H6" s="3824"/>
      <c r="I6" s="3835"/>
      <c r="J6" s="3711">
        <f>I5&amp;".1"</f>
      </c>
      <c r="L6" s="3830" t="s">
        <v>421</v>
      </c>
      <c r="Q6" s="3471">
        <v>1</v>
      </c>
      <c r="R6" s="3836"/>
      <c r="S6" s="3818">
        <f>$J6</f>
      </c>
      <c r="T6" s="3837" t="s">
        <v>422</v>
      </c>
      <c r="U6" s="3819"/>
      <c r="V6" s="3638"/>
      <c r="W6" s="3833"/>
      <c r="X6" s="3833"/>
      <c r="Y6" s="3833"/>
      <c r="Z6" s="3833"/>
      <c r="AA6" s="3833"/>
      <c r="AB6" s="3833"/>
      <c r="AC6" s="3833"/>
      <c r="AD6" s="3833"/>
      <c r="AE6" s="3833"/>
      <c r="AF6" s="3834"/>
      <c r="AG6" s="3638"/>
      <c r="AH6" s="3833"/>
      <c r="AI6" s="3833"/>
      <c r="AJ6" s="3833"/>
      <c r="AK6" s="3833"/>
      <c r="AL6" s="3833"/>
      <c r="AM6" s="3833"/>
      <c r="AN6" s="3833"/>
      <c r="AO6" s="3833"/>
      <c r="AP6" s="3833"/>
      <c r="AQ6" s="3833"/>
      <c r="AR6" s="3834"/>
      <c r="AS6" s="3883" t="s">
        <v>500</v>
      </c>
      <c r="AV6" s="3479" t="str">
        <f>IF(T6="","",T6)</f>
        <v>Группа потребителей</v>
      </c>
      <c r="AY6" s="3432">
        <v>0</v>
      </c>
    </row>
    <row customHeight="1" ht="23.25" hidden="1">
      <c r="E7" s="3824"/>
      <c r="F7" s="3824"/>
      <c r="G7" s="3824"/>
      <c r="H7" s="3824"/>
      <c r="I7" s="3835"/>
      <c r="J7" s="3835"/>
      <c r="K7" s="3711">
        <f>J6&amp;".1"</f>
      </c>
      <c r="R7" s="3836">
        <v>1</v>
      </c>
      <c r="S7" s="3818">
        <f>$K7</f>
      </c>
      <c r="T7" s="1033"/>
      <c r="U7" s="3819"/>
      <c r="V7" s="838"/>
      <c r="W7" s="838"/>
      <c r="X7" s="838"/>
      <c r="Y7" s="838"/>
      <c r="Z7" s="838"/>
      <c r="AA7" s="838"/>
      <c r="AB7" s="838"/>
      <c r="AC7" s="572"/>
      <c r="AD7" s="210" t="s">
        <v>61</v>
      </c>
      <c r="AE7" s="572"/>
      <c r="AF7" s="210" t="s">
        <v>61</v>
      </c>
      <c r="AG7" s="838"/>
      <c r="AH7" s="838"/>
      <c r="AI7" s="838"/>
      <c r="AJ7" s="838"/>
      <c r="AK7" s="838"/>
      <c r="AL7" s="838"/>
      <c r="AM7" s="838"/>
      <c r="AN7" s="572"/>
      <c r="AO7" s="210" t="s">
        <v>61</v>
      </c>
      <c r="AP7" s="881"/>
      <c r="AQ7" s="210" t="s">
        <v>61</v>
      </c>
      <c r="AR7" s="1034"/>
      <c r="AS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473">
        <f>STRCHECKDATE(V8:AR8)</f>
      </c>
      <c r="AV7" s="3479" t="str">
        <f>IF(T7="","",T7)</f>
        <v/>
      </c>
      <c r="AY7" s="3432">
        <v>0</v>
      </c>
    </row>
    <row customHeight="1" ht="14.25" hidden="1">
      <c r="E8" s="3824"/>
      <c r="F8" s="3824"/>
      <c r="G8" s="3824"/>
      <c r="H8" s="3824"/>
      <c r="I8" s="3835"/>
      <c r="J8" s="3835"/>
      <c r="K8" s="3711"/>
      <c r="R8" s="3836"/>
      <c r="S8" s="421"/>
      <c r="T8" s="3819"/>
      <c r="U8" s="3819"/>
      <c r="V8" s="839"/>
      <c r="W8" s="839"/>
      <c r="X8" s="839"/>
      <c r="Y8" s="839"/>
      <c r="Z8" s="839"/>
      <c r="AA8" s="839"/>
      <c r="AB8" s="839"/>
      <c r="AC8" s="573"/>
      <c r="AD8" s="210"/>
      <c r="AE8" s="573"/>
      <c r="AF8" s="210"/>
      <c r="AG8" s="839"/>
      <c r="AH8" s="839"/>
      <c r="AI8" s="839"/>
      <c r="AJ8" s="839"/>
      <c r="AK8" s="839"/>
      <c r="AL8" s="839"/>
      <c r="AM8" s="839"/>
      <c r="AN8" s="573"/>
      <c r="AO8" s="210"/>
      <c r="AP8" s="883"/>
      <c r="AQ8" s="210"/>
      <c r="AR8" s="1015"/>
      <c r="AS8" s="3941"/>
      <c r="AV8" s="3479" t="str">
        <f>IF(T8="","",T8)</f>
        <v/>
      </c>
      <c r="AY8" s="3432">
        <v>0</v>
      </c>
    </row>
    <row customHeight="1" ht="21" hidden="1">
      <c r="E9" s="3824"/>
      <c r="F9" s="3824"/>
      <c r="G9" s="3824"/>
      <c r="H9" s="3824"/>
      <c r="I9" s="3835"/>
      <c r="J9" s="3711"/>
      <c r="R9" s="3831"/>
      <c r="S9" s="844"/>
      <c r="T9" s="848" t="s">
        <v>501</v>
      </c>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3823" t="s">
        <v>502</v>
      </c>
      <c r="AV9" s="3479" t="str">
        <f>IF(T9="","",T9)</f>
        <v>Добавить значение признака дифференциации</v>
      </c>
      <c r="AY9" s="3432">
        <v>0</v>
      </c>
    </row>
    <row customHeight="1" ht="21" hidden="1">
      <c r="E10" s="3824"/>
      <c r="F10" s="3824"/>
      <c r="G10" s="3824"/>
      <c r="H10" s="3824"/>
      <c r="I10" s="3711"/>
      <c r="R10" s="3831"/>
      <c r="S10" s="844"/>
      <c r="T10" s="851" t="s">
        <v>427</v>
      </c>
      <c r="U10" s="200"/>
      <c r="V10" s="200"/>
      <c r="W10" s="200"/>
      <c r="X10" s="200"/>
      <c r="Y10" s="200"/>
      <c r="Z10" s="200"/>
      <c r="AA10" s="200"/>
      <c r="AB10" s="200"/>
      <c r="AC10" s="200"/>
      <c r="AD10" s="200"/>
      <c r="AE10" s="200"/>
      <c r="AF10" s="849"/>
      <c r="AG10" s="200"/>
      <c r="AH10" s="200"/>
      <c r="AI10" s="200"/>
      <c r="AJ10" s="200"/>
      <c r="AK10" s="200"/>
      <c r="AL10" s="200"/>
      <c r="AM10" s="200"/>
      <c r="AN10" s="200"/>
      <c r="AO10" s="200"/>
      <c r="AP10" s="200"/>
      <c r="AQ10" s="849"/>
      <c r="AR10" s="200"/>
      <c r="AS10" s="1036"/>
      <c r="AV10" s="3479" t="str">
        <f>IF(T10="","",T10)</f>
        <v>Добавить группу потребителей</v>
      </c>
      <c r="AY10" s="3432">
        <v>0</v>
      </c>
    </row>
    <row customHeight="1" ht="21" hidden="1">
      <c r="E11" s="3824"/>
      <c r="F11" s="3824"/>
      <c r="G11" s="3824"/>
      <c r="H11" s="3817"/>
      <c r="R11" s="816"/>
      <c r="S11" s="844"/>
      <c r="T11" s="994" t="s">
        <v>503</v>
      </c>
      <c r="U11" s="200"/>
      <c r="V11" s="200"/>
      <c r="W11" s="200"/>
      <c r="X11" s="200"/>
      <c r="Y11" s="200"/>
      <c r="Z11" s="200"/>
      <c r="AA11" s="200"/>
      <c r="AB11" s="200"/>
      <c r="AC11" s="200"/>
      <c r="AD11" s="200"/>
      <c r="AE11" s="200"/>
      <c r="AF11" s="849"/>
      <c r="AG11" s="200"/>
      <c r="AH11" s="200"/>
      <c r="AI11" s="200"/>
      <c r="AJ11" s="200"/>
      <c r="AK11" s="200"/>
      <c r="AL11" s="200"/>
      <c r="AM11" s="200"/>
      <c r="AN11" s="200"/>
      <c r="AO11" s="200"/>
      <c r="AP11" s="200"/>
      <c r="AQ11" s="849"/>
      <c r="AR11" s="200"/>
      <c r="AS11" s="850"/>
      <c r="AV11" s="3479" t="str">
        <f>IF(T11="","",T11)</f>
        <v>Добавить наименование признака дифференциации</v>
      </c>
      <c r="AY11" s="3432">
        <v>0</v>
      </c>
    </row>
    <row customHeight="1" ht="14.25" hidden="1">
      <c r="E12" s="3824"/>
      <c r="F12" s="3817"/>
      <c r="T12" s="856" t="s">
        <v>430</v>
      </c>
      <c r="AV12" s="3479" t="str">
        <f>IF(T12="","",T12)</f>
        <v>Добавить централизованную систему для дифференциации</v>
      </c>
      <c r="AY12" s="3473">
        <v>0</v>
      </c>
    </row>
    <row customHeight="1" ht="14.25" hidden="1">
      <c r="E13" s="3817"/>
      <c r="T13" s="856" t="s">
        <v>431</v>
      </c>
      <c r="AV13" s="3479" t="str">
        <f>IF(T13="","",T13)</f>
        <v>Добавить территорию для дифференциации</v>
      </c>
      <c r="AY13" s="3473">
        <v>0</v>
      </c>
    </row>
    <row customHeight="1" ht="14.25" hidden="1">
      <c r="AY14" s="3432">
        <v>0</v>
      </c>
    </row>
    <row customHeight="1" ht="14.25" hidden="1">
      <c r="AG15" s="719"/>
      <c r="AH15" s="719"/>
      <c r="AI15" s="719"/>
      <c r="AJ15" s="719"/>
      <c r="AK15" s="719"/>
      <c r="AL15" s="719"/>
      <c r="AM15" s="719"/>
      <c r="AN15" s="858"/>
      <c r="AO15" s="616" t="s">
        <v>61</v>
      </c>
      <c r="AP15" s="858"/>
      <c r="AQ15" s="616" t="s">
        <v>61</v>
      </c>
      <c r="AY15" s="3432">
        <v>0</v>
      </c>
    </row>
    <row customHeight="1" ht="14.25" hidden="1">
      <c r="AG16" s="719"/>
      <c r="AH16" s="719"/>
      <c r="AI16" s="719"/>
      <c r="AJ16" s="719"/>
      <c r="AK16" s="719"/>
      <c r="AL16" s="719"/>
      <c r="AM16" s="719"/>
      <c r="AN16" s="616"/>
      <c r="AO16" s="616"/>
      <c r="AP16" s="616"/>
      <c r="AQ16" s="616"/>
      <c r="AY16" s="3432">
        <v>0</v>
      </c>
    </row>
    <row customHeight="1" ht="14.25" hidden="1">
      <c r="AY17" s="3432">
        <v>0</v>
      </c>
    </row>
    <row customHeight="1" ht="22.5" hidden="1">
      <c r="O18" s="859" t="s">
        <v>432</v>
      </c>
      <c r="AC18" s="859"/>
      <c r="AE18" s="859"/>
      <c r="AN18" s="859"/>
      <c r="AP18" s="859"/>
      <c r="AY18" s="3449">
        <v>0</v>
      </c>
    </row>
    <row customHeight="1" ht="14.25" hidden="1">
      <c r="AY19" s="3449">
        <v>0</v>
      </c>
    </row>
    <row customHeight="1" ht="12" hidden="1">
      <c r="O20" s="3830" t="s">
        <v>433</v>
      </c>
      <c r="T20" s="3449" t="s">
        <v>434</v>
      </c>
      <c r="AD20" s="3511" t="s">
        <v>435</v>
      </c>
      <c r="AF20" s="3511" t="s">
        <v>436</v>
      </c>
      <c r="AG20" s="3449" t="s">
        <v>434</v>
      </c>
      <c r="AO20" s="3511" t="s">
        <v>437</v>
      </c>
      <c r="AQ20" s="3511" t="s">
        <v>436</v>
      </c>
      <c r="AY20" s="3449">
        <v>0</v>
      </c>
    </row>
    <row customHeight="1" ht="14.25" hidden="1">
      <c r="AY21" s="3432">
        <v>0</v>
      </c>
    </row>
    <row customHeight="1" ht="14.25" hidden="1">
      <c r="AY22" s="3432">
        <v>0</v>
      </c>
    </row>
    <row customHeight="1" ht="14.699999999999998">
      <c r="Q23" s="3719"/>
      <c r="R23" s="3719"/>
      <c r="S23" s="3842"/>
      <c r="T23" s="3450"/>
      <c r="U23" s="3450"/>
      <c r="AY23" s="3432">
        <v>14</v>
      </c>
    </row>
    <row customHeight="1" ht="26.25">
      <c r="Q24" s="3719"/>
      <c r="R24" s="3719"/>
      <c r="S24" s="3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46"/>
      <c r="U24" s="3646"/>
      <c r="V24" s="3646"/>
      <c r="W24" s="3646"/>
      <c r="X24" s="3646"/>
      <c r="Y24" s="3646"/>
      <c r="Z24" s="3646"/>
      <c r="AA24" s="3646"/>
      <c r="AB24" s="3646"/>
      <c r="AC24" s="3646"/>
      <c r="AD24" s="3646"/>
      <c r="AE24" s="3646"/>
      <c r="AF24" s="3646"/>
      <c r="AG24" s="3646"/>
      <c r="AH24" s="3646"/>
      <c r="AI24" s="3646"/>
      <c r="AJ24" s="3646"/>
      <c r="AK24" s="3646"/>
      <c r="AL24" s="3646"/>
      <c r="AM24" s="3646"/>
      <c r="AN24" s="3646"/>
      <c r="AO24" s="3646"/>
      <c r="AP24" s="3646"/>
      <c r="AY24" s="3432">
        <v>25</v>
      </c>
    </row>
    <row customHeight="1" ht="14.699999999999998">
      <c r="Q25" s="3719"/>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I25" s="3554"/>
      <c r="AJ25" s="3554"/>
      <c r="AK25" s="3554"/>
      <c r="AL25" s="3554"/>
      <c r="AM25" s="3554"/>
      <c r="AN25" s="3554"/>
      <c r="AO25" s="3554"/>
      <c r="AP25" s="3554"/>
      <c r="AY25" s="3432">
        <v>14</v>
      </c>
    </row>
    <row customHeight="1" ht="14.25" hidden="1">
      <c r="Q26" s="3719"/>
      <c r="R26" s="3719"/>
      <c r="S26" s="3842"/>
      <c r="T26" s="3450"/>
      <c r="U26" s="3450"/>
      <c r="V26" s="3804"/>
      <c r="W26" s="3804"/>
      <c r="X26" s="3804"/>
      <c r="Y26" s="3804"/>
      <c r="Z26" s="3804"/>
      <c r="AA26" s="3804"/>
      <c r="AB26" s="3804"/>
      <c r="AC26" s="3804"/>
      <c r="AD26" s="3804"/>
      <c r="AE26" s="3804"/>
      <c r="AF26" s="3804"/>
      <c r="AG26" s="3804"/>
      <c r="AH26" s="3804"/>
      <c r="AI26" s="3804"/>
      <c r="AJ26" s="3804"/>
      <c r="AK26" s="3804"/>
      <c r="AL26" s="3804"/>
      <c r="AM26" s="3804"/>
      <c r="AN26" s="3804"/>
      <c r="AO26" s="3804"/>
      <c r="AP26" s="3804"/>
      <c r="AQ26" s="3804"/>
      <c r="AY26" s="3432">
        <v>0</v>
      </c>
    </row>
    <row customHeight="1" ht="25.5" hidden="1">
      <c r="S27" s="3843" t="s">
        <v>41</v>
      </c>
      <c r="T27" s="3843"/>
      <c r="U27" s="3844"/>
      <c r="V27" s="3806" t="str">
        <f>IF(TITLE_NAME_OR_PR_CHANGE="",IF(TITLE_NAME_OR_PR="","",TITLE_NAME_OR_PR),TITLE_NAME_OR_PR_CHANGE)</f>
        <v/>
      </c>
      <c r="W27" s="3806"/>
      <c r="X27" s="3806"/>
      <c r="Y27" s="3806"/>
      <c r="Z27" s="3806"/>
      <c r="AA27" s="3806"/>
      <c r="AB27" s="3806"/>
      <c r="AC27" s="3806"/>
      <c r="AD27" s="3806"/>
      <c r="AE27" s="3806"/>
      <c r="AG27" s="3806" t="str">
        <f>IF(TITLE_NAME_OR_PR_CHANGE="",IF(TITLE_NAME_OR_PR="","",TITLE_NAME_OR_PR),TITLE_NAME_OR_PR_CHANGE)</f>
        <v/>
      </c>
      <c r="AH27" s="3806"/>
      <c r="AI27" s="3806"/>
      <c r="AJ27" s="3806"/>
      <c r="AK27" s="3806"/>
      <c r="AL27" s="3806"/>
      <c r="AM27" s="3806"/>
      <c r="AN27" s="3806"/>
      <c r="AO27" s="3806"/>
      <c r="AP27" s="3806"/>
      <c r="AY27" s="3489">
        <v>0</v>
      </c>
    </row>
    <row customHeight="1" ht="18.75" hidden="1">
      <c r="S28" s="3843" t="s">
        <v>438</v>
      </c>
      <c r="T28" s="3843"/>
      <c r="U28" s="3844"/>
      <c r="V28" s="795" t="str">
        <f>IF(TITLE_DATE_PR_CHANGE="",IF(TITLE_DATE_PR="","",TITLE_DATE_PR),TITLE_DATE_PR_CHANGE)</f>
        <v/>
      </c>
      <c r="W28" s="795"/>
      <c r="X28" s="795"/>
      <c r="Y28" s="795"/>
      <c r="Z28" s="795"/>
      <c r="AA28" s="795"/>
      <c r="AB28" s="795"/>
      <c r="AC28" s="795"/>
      <c r="AD28" s="795"/>
      <c r="AE28" s="795"/>
      <c r="AG28" s="795" t="str">
        <f>IF(TITLE_DATE_PR_CHANGE="",IF(TITLE_DATE_PR="","",TITLE_DATE_PR),TITLE_DATE_PR_CHANGE)</f>
        <v/>
      </c>
      <c r="AH28" s="795"/>
      <c r="AI28" s="795"/>
      <c r="AJ28" s="795"/>
      <c r="AK28" s="795"/>
      <c r="AL28" s="795"/>
      <c r="AM28" s="795"/>
      <c r="AN28" s="795"/>
      <c r="AO28" s="795"/>
      <c r="AP28" s="795"/>
      <c r="AY28" s="3489">
        <v>0</v>
      </c>
    </row>
    <row customHeight="1" ht="18.75" hidden="1">
      <c r="S29" s="3843" t="s">
        <v>439</v>
      </c>
      <c r="T29" s="3843"/>
      <c r="U29" s="3844"/>
      <c r="V29" s="3806" t="str">
        <f>IF(TITLE_NUMBER_PR_CHANGE="",IF(TITLE_NUMBER_PR="","",TITLE_NUMBER_PR),TITLE_NUMBER_PR_CHANGE)</f>
        <v/>
      </c>
      <c r="W29" s="3806"/>
      <c r="X29" s="3806"/>
      <c r="Y29" s="3806"/>
      <c r="Z29" s="3806"/>
      <c r="AA29" s="3806"/>
      <c r="AB29" s="3806"/>
      <c r="AC29" s="3806"/>
      <c r="AD29" s="3806"/>
      <c r="AE29" s="3806"/>
      <c r="AG29" s="3806" t="str">
        <f>IF(TITLE_NUMBER_PR_CHANGE="",IF(TITLE_NUMBER_PR="","",TITLE_NUMBER_PR),TITLE_NUMBER_PR_CHANGE)</f>
        <v/>
      </c>
      <c r="AH29" s="3806"/>
      <c r="AI29" s="3806"/>
      <c r="AJ29" s="3806"/>
      <c r="AK29" s="3806"/>
      <c r="AL29" s="3806"/>
      <c r="AM29" s="3806"/>
      <c r="AN29" s="3806"/>
      <c r="AO29" s="3806"/>
      <c r="AP29" s="3806"/>
      <c r="AY29" s="3489">
        <v>0</v>
      </c>
    </row>
    <row customHeight="1" ht="18.75" hidden="1">
      <c r="S30" s="3843" t="s">
        <v>42</v>
      </c>
      <c r="T30" s="3843"/>
      <c r="U30" s="3844"/>
      <c r="V30" s="3806" t="str">
        <f>IF(TITLE_IST_PUB_CHANGE="",IF(TITLE_IST_PUB="","",TITLE_IST_PUB),TITLE_IST_PUB_CHANGE)</f>
        <v/>
      </c>
      <c r="W30" s="3806"/>
      <c r="X30" s="3806"/>
      <c r="Y30" s="3806"/>
      <c r="Z30" s="3806"/>
      <c r="AA30" s="3806"/>
      <c r="AB30" s="3806"/>
      <c r="AC30" s="3806"/>
      <c r="AD30" s="3806"/>
      <c r="AE30" s="3806"/>
      <c r="AG30" s="3806" t="str">
        <f>IF(TITLE_IST_PUB_CHANGE="",IF(TITLE_IST_PUB="","",TITLE_IST_PUB),TITLE_IST_PUB_CHANGE)</f>
        <v/>
      </c>
      <c r="AH30" s="3806"/>
      <c r="AI30" s="3806"/>
      <c r="AJ30" s="3806"/>
      <c r="AK30" s="3806"/>
      <c r="AL30" s="3806"/>
      <c r="AM30" s="3806"/>
      <c r="AN30" s="3806"/>
      <c r="AO30" s="3806"/>
      <c r="AP30" s="3806"/>
      <c r="AY30" s="3489">
        <v>0</v>
      </c>
    </row>
    <row customHeight="1" ht="14.25" hidden="1">
      <c r="Q31" s="3719"/>
      <c r="R31" s="3719"/>
      <c r="S31" s="3842"/>
      <c r="T31" s="3450"/>
      <c r="U31" s="3450"/>
      <c r="V31" s="3804"/>
      <c r="W31" s="3804"/>
      <c r="X31" s="3804"/>
      <c r="Y31" s="3804"/>
      <c r="Z31" s="3804"/>
      <c r="AA31" s="3804"/>
      <c r="AB31" s="3804"/>
      <c r="AC31" s="3804"/>
      <c r="AD31" s="3804"/>
      <c r="AE31" s="3804"/>
      <c r="AF31" s="3804"/>
      <c r="AG31" s="3804"/>
      <c r="AH31" s="3804"/>
      <c r="AI31" s="3804"/>
      <c r="AJ31" s="3804"/>
      <c r="AK31" s="3804"/>
      <c r="AL31" s="3804"/>
      <c r="AM31" s="3804"/>
      <c r="AN31" s="3804"/>
      <c r="AO31" s="3804"/>
      <c r="AP31" s="3804"/>
      <c r="AQ31" s="3804"/>
      <c r="AY31" s="3432">
        <v>0</v>
      </c>
    </row>
    <row customHeight="1" ht="18.75" hidden="1">
      <c r="S32" s="3843" t="s">
        <v>440</v>
      </c>
      <c r="T32" s="3843"/>
      <c r="U32" s="3844"/>
      <c r="V32" s="795" t="str">
        <f>IF(TITLE_DATE_PR_CHANGE="",IF(TITLE_DATE_PR="","",TITLE_DATE_PR),TITLE_DATE_PR_CHANGE)</f>
        <v/>
      </c>
      <c r="W32" s="795"/>
      <c r="X32" s="795"/>
      <c r="Y32" s="795"/>
      <c r="Z32" s="795"/>
      <c r="AA32" s="795"/>
      <c r="AB32" s="795"/>
      <c r="AC32" s="795"/>
      <c r="AD32" s="795"/>
      <c r="AE32" s="795"/>
      <c r="AG32" s="795" t="str">
        <f>IF(TITLE_DATE_PR_CHANGE="",IF(TITLE_DATE_PR="","",TITLE_DATE_PR),TITLE_DATE_PR_CHANGE)</f>
        <v/>
      </c>
      <c r="AH32" s="795"/>
      <c r="AI32" s="795"/>
      <c r="AJ32" s="795"/>
      <c r="AK32" s="795"/>
      <c r="AL32" s="795"/>
      <c r="AM32" s="795"/>
      <c r="AN32" s="795"/>
      <c r="AO32" s="795"/>
      <c r="AP32" s="795"/>
      <c r="AY32" s="3489">
        <v>0</v>
      </c>
    </row>
    <row customHeight="1" ht="18.75" hidden="1">
      <c r="S33" s="3843" t="s">
        <v>441</v>
      </c>
      <c r="T33" s="3843"/>
      <c r="U33" s="3844"/>
      <c r="V33" s="3806" t="str">
        <f>IF(TITLE_NUMBER_PR_CHANGE="",IF(TITLE_NUMBER_PR="","",TITLE_NUMBER_PR),TITLE_NUMBER_PR_CHANGE)</f>
        <v/>
      </c>
      <c r="W33" s="3806"/>
      <c r="X33" s="3806"/>
      <c r="Y33" s="3806"/>
      <c r="Z33" s="3806"/>
      <c r="AA33" s="3806"/>
      <c r="AB33" s="3806"/>
      <c r="AC33" s="3806"/>
      <c r="AD33" s="3806"/>
      <c r="AE33" s="3806"/>
      <c r="AG33" s="3806" t="str">
        <f>IF(TITLE_NUMBER_PR_CHANGE="",IF(TITLE_NUMBER_PR="","",TITLE_NUMBER_PR),TITLE_NUMBER_PR_CHANGE)</f>
        <v/>
      </c>
      <c r="AH33" s="3806"/>
      <c r="AI33" s="3806"/>
      <c r="AJ33" s="3806"/>
      <c r="AK33" s="3806"/>
      <c r="AL33" s="3806"/>
      <c r="AM33" s="3806"/>
      <c r="AN33" s="3806"/>
      <c r="AO33" s="3806"/>
      <c r="AP33" s="3806"/>
      <c r="AY33" s="3489">
        <v>0</v>
      </c>
    </row>
    <row customHeight="1" ht="1.05">
      <c r="AF34" s="3473" t="s">
        <v>442</v>
      </c>
      <c r="AQ34" s="3473" t="s">
        <v>442</v>
      </c>
      <c r="AY34" s="3489">
        <v>1</v>
      </c>
    </row>
    <row customHeight="1" ht="14.699999999999998">
      <c r="Q35" s="3719"/>
      <c r="R35" s="3719"/>
      <c r="S35" s="3842"/>
      <c r="T35" s="3450"/>
      <c r="U35" s="3845"/>
      <c r="V35" s="3846"/>
      <c r="W35" s="3846"/>
      <c r="X35" s="3846"/>
      <c r="Y35" s="3846"/>
      <c r="Z35" s="3846"/>
      <c r="AA35" s="3846"/>
      <c r="AB35" s="3846"/>
      <c r="AC35" s="3846"/>
      <c r="AD35" s="3846"/>
      <c r="AE35" s="3846"/>
      <c r="AF35" s="3846"/>
      <c r="AG35" s="3846"/>
      <c r="AH35" s="3846"/>
      <c r="AI35" s="3846"/>
      <c r="AJ35" s="3846"/>
      <c r="AK35" s="3846"/>
      <c r="AL35" s="3846"/>
      <c r="AM35" s="3846"/>
      <c r="AN35" s="3846"/>
      <c r="AO35" s="3846"/>
      <c r="AP35" s="3846"/>
      <c r="AQ35" s="3846"/>
      <c r="AY35" s="3432">
        <v>14</v>
      </c>
    </row>
    <row customHeight="1" ht="14.699999999999998">
      <c r="Q36" s="3719"/>
      <c r="R36" s="3719"/>
      <c r="S36" s="3480" t="s">
        <v>315</v>
      </c>
      <c r="T36" s="3480"/>
      <c r="U36" s="3480"/>
      <c r="V36" s="3480"/>
      <c r="W36" s="3480"/>
      <c r="X36" s="3480"/>
      <c r="Y36" s="3480"/>
      <c r="Z36" s="3480"/>
      <c r="AA36" s="3480"/>
      <c r="AB36" s="3480"/>
      <c r="AC36" s="3480"/>
      <c r="AD36" s="3480"/>
      <c r="AE36" s="3480"/>
      <c r="AF36" s="3480"/>
      <c r="AG36" s="3480"/>
      <c r="AH36" s="3480"/>
      <c r="AI36" s="3480"/>
      <c r="AJ36" s="3480"/>
      <c r="AK36" s="3480"/>
      <c r="AL36" s="3480"/>
      <c r="AM36" s="3480"/>
      <c r="AN36" s="3480"/>
      <c r="AO36" s="3480"/>
      <c r="AP36" s="3480"/>
      <c r="AQ36" s="3480"/>
      <c r="AR36" s="3480"/>
      <c r="AS36" s="3480" t="s">
        <v>316</v>
      </c>
      <c r="AY36" s="3432">
        <v>14</v>
      </c>
    </row>
    <row customHeight="1" ht="14.699999999999998">
      <c r="Q37" s="3719"/>
      <c r="R37" s="3719"/>
      <c r="S37" s="3818" t="s">
        <v>86</v>
      </c>
      <c r="T37" s="3579" t="s">
        <v>443</v>
      </c>
      <c r="U37" s="3793"/>
      <c r="V37" s="3847" t="s">
        <v>444</v>
      </c>
      <c r="W37" s="3858"/>
      <c r="X37" s="3858"/>
      <c r="Y37" s="3858"/>
      <c r="Z37" s="3858"/>
      <c r="AA37" s="3858"/>
      <c r="AB37" s="3858"/>
      <c r="AC37" s="3848"/>
      <c r="AD37" s="3848"/>
      <c r="AE37" s="3849"/>
      <c r="AF37" s="3807" t="s">
        <v>445</v>
      </c>
      <c r="AG37" s="3847" t="s">
        <v>444</v>
      </c>
      <c r="AH37" s="3848"/>
      <c r="AI37" s="3848"/>
      <c r="AJ37" s="3848"/>
      <c r="AK37" s="3848"/>
      <c r="AL37" s="3848"/>
      <c r="AM37" s="3848"/>
      <c r="AN37" s="3848"/>
      <c r="AO37" s="3848"/>
      <c r="AP37" s="3849"/>
      <c r="AQ37" s="3807" t="s">
        <v>446</v>
      </c>
      <c r="AR37" s="868" t="s">
        <v>447</v>
      </c>
      <c r="AS37" s="3480"/>
      <c r="AY37" s="3432">
        <v>14</v>
      </c>
    </row>
    <row customHeight="1" ht="19.95">
      <c r="Q38" s="3719"/>
      <c r="R38" s="3719"/>
      <c r="S38" s="3818"/>
      <c r="T38" s="3579"/>
      <c r="U38" s="3798"/>
      <c r="V38" s="3480" t="s">
        <v>547</v>
      </c>
      <c r="W38" s="314" t="s">
        <v>548</v>
      </c>
      <c r="X38" s="314"/>
      <c r="Y38" s="314"/>
      <c r="Z38" s="314" t="s">
        <v>549</v>
      </c>
      <c r="AA38" s="314"/>
      <c r="AB38" s="314"/>
      <c r="AC38" s="3555" t="s">
        <v>451</v>
      </c>
      <c r="AD38" s="3886"/>
      <c r="AE38" s="3556"/>
      <c r="AF38" s="3851"/>
      <c r="AG38" s="3480" t="s">
        <v>547</v>
      </c>
      <c r="AH38" s="314" t="s">
        <v>548</v>
      </c>
      <c r="AI38" s="314"/>
      <c r="AJ38" s="314"/>
      <c r="AK38" s="314" t="s">
        <v>549</v>
      </c>
      <c r="AL38" s="314"/>
      <c r="AM38" s="314"/>
      <c r="AN38" s="3555" t="s">
        <v>451</v>
      </c>
      <c r="AO38" s="3886"/>
      <c r="AP38" s="3556"/>
      <c r="AQ38" s="3851"/>
      <c r="AR38" s="871"/>
      <c r="AS38" s="3480"/>
      <c r="AY38" s="3432">
        <v>19</v>
      </c>
    </row>
    <row customHeight="1" ht="19.95">
      <c r="Q39" s="3719"/>
      <c r="R39" s="3719"/>
      <c r="S39" s="3818"/>
      <c r="T39" s="3579"/>
      <c r="U39" s="3798"/>
      <c r="V39" s="3480"/>
      <c r="W39" s="314" t="s">
        <v>550</v>
      </c>
      <c r="X39" s="314" t="s">
        <v>551</v>
      </c>
      <c r="Y39" s="314"/>
      <c r="Z39" s="314" t="s">
        <v>552</v>
      </c>
      <c r="AA39" s="314" t="s">
        <v>551</v>
      </c>
      <c r="AB39" s="314"/>
      <c r="AC39" s="3561"/>
      <c r="AD39" s="3887"/>
      <c r="AE39" s="3562"/>
      <c r="AF39" s="3851"/>
      <c r="AG39" s="3480"/>
      <c r="AH39" s="314" t="s">
        <v>550</v>
      </c>
      <c r="AI39" s="314" t="s">
        <v>551</v>
      </c>
      <c r="AJ39" s="314"/>
      <c r="AK39" s="314" t="s">
        <v>552</v>
      </c>
      <c r="AL39" s="314" t="s">
        <v>551</v>
      </c>
      <c r="AM39" s="314"/>
      <c r="AN39" s="3561"/>
      <c r="AO39" s="3887"/>
      <c r="AP39" s="3562"/>
      <c r="AQ39" s="3851"/>
      <c r="AR39" s="871"/>
      <c r="AS39" s="3480"/>
      <c r="AY39" s="3432">
        <v>19</v>
      </c>
    </row>
    <row customHeight="1" ht="61.949999999999996">
      <c r="B40" s="3511" t="s">
        <v>153</v>
      </c>
      <c r="C40" s="3511" t="s">
        <v>154</v>
      </c>
      <c r="D40" s="3511" t="s">
        <v>155</v>
      </c>
      <c r="E40" s="3830" t="s">
        <v>452</v>
      </c>
      <c r="F40" s="3830" t="s">
        <v>453</v>
      </c>
      <c r="G40" s="3830" t="s">
        <v>454</v>
      </c>
      <c r="I40" s="3830" t="s">
        <v>505</v>
      </c>
      <c r="J40" s="3830" t="s">
        <v>457</v>
      </c>
      <c r="K40" s="3830" t="s">
        <v>506</v>
      </c>
      <c r="L40" s="3830" t="s">
        <v>433</v>
      </c>
      <c r="Q40" s="3719"/>
      <c r="R40" s="3719"/>
      <c r="S40" s="3818"/>
      <c r="T40" s="3579"/>
      <c r="U40" s="3852"/>
      <c r="V40" s="3480"/>
      <c r="W40" s="314"/>
      <c r="X40" s="314" t="s">
        <v>553</v>
      </c>
      <c r="Y40" s="314" t="s">
        <v>554</v>
      </c>
      <c r="Z40" s="314"/>
      <c r="AA40" s="314" t="s">
        <v>555</v>
      </c>
      <c r="AB40" s="314" t="s">
        <v>556</v>
      </c>
      <c r="AC40" s="3525" t="s">
        <v>461</v>
      </c>
      <c r="AD40" s="3626" t="s">
        <v>462</v>
      </c>
      <c r="AE40" s="3628"/>
      <c r="AF40" s="3810"/>
      <c r="AG40" s="3480"/>
      <c r="AH40" s="314"/>
      <c r="AI40" s="314" t="s">
        <v>553</v>
      </c>
      <c r="AJ40" s="314" t="s">
        <v>554</v>
      </c>
      <c r="AK40" s="314"/>
      <c r="AL40" s="314" t="s">
        <v>555</v>
      </c>
      <c r="AM40" s="314" t="s">
        <v>556</v>
      </c>
      <c r="AN40" s="3525" t="s">
        <v>461</v>
      </c>
      <c r="AO40" s="3626" t="s">
        <v>462</v>
      </c>
      <c r="AP40" s="3628"/>
      <c r="AQ40" s="3810"/>
      <c r="AR40" s="873"/>
      <c r="AS40" s="3480"/>
      <c r="AY40" s="3432">
        <v>59</v>
      </c>
    </row>
    <row customHeight="1" ht="11.25" hidden="1">
      <c r="Q41" s="3853"/>
      <c r="R41" s="3854">
        <v>1</v>
      </c>
      <c r="S41" s="876" t="s">
        <v>107</v>
      </c>
      <c r="T41" s="877" t="s">
        <v>108</v>
      </c>
      <c r="U41" s="3855" t="str">
        <f>OFFSET(U41,0,-1)</f>
        <v>2</v>
      </c>
      <c r="V41" s="3856">
        <f>OFFSET(V41,0,-1)+1</f>
        <v>3</v>
      </c>
      <c r="W41" s="3636"/>
      <c r="X41" s="3636"/>
      <c r="Y41" s="3636"/>
      <c r="Z41" s="3636"/>
      <c r="AA41" s="3636"/>
      <c r="AB41" s="3636"/>
      <c r="AC41" s="3856">
        <f>OFFSET(AC41,0,-1)+1</f>
        <v>1</v>
      </c>
      <c r="AD41" s="3856">
        <f>OFFSET(AD41,0,-1)+1</f>
        <v>2</v>
      </c>
      <c r="AE41" s="3856"/>
      <c r="AF41" s="3856">
        <f>OFFSET(AF41,0,-2)+1</f>
        <v>3</v>
      </c>
      <c r="AG41" s="3856">
        <f>OFFSET(AG41,0,-1)+1</f>
        <v>4</v>
      </c>
      <c r="AH41" s="3856"/>
      <c r="AI41" s="3856"/>
      <c r="AJ41" s="3856"/>
      <c r="AK41" s="3856"/>
      <c r="AL41" s="3856"/>
      <c r="AM41" s="3856">
        <f>OFFSET(AM41,0,-1)+1</f>
        <v>1</v>
      </c>
      <c r="AN41" s="3856">
        <f>OFFSET(AN41,0,-1)+1</f>
        <v>2</v>
      </c>
      <c r="AO41" s="3856">
        <f>OFFSET(AO41,0,-1)+1</f>
        <v>3</v>
      </c>
      <c r="AP41" s="3856"/>
      <c r="AQ41" s="3856">
        <f>OFFSET(AQ41,0,-2)+1</f>
        <v>4</v>
      </c>
      <c r="AR41" s="3855">
        <f>OFFSET(AR41,0,-1)</f>
        <v>4</v>
      </c>
      <c r="AS41" s="3856">
        <f>OFFSET(AS41,0,-1)+1</f>
        <v>5</v>
      </c>
      <c r="AY41" s="3637">
        <v>0</v>
      </c>
    </row>
    <row customHeight="1" ht="24">
      <c r="A42" s="3857" t="s">
        <v>266</v>
      </c>
      <c r="E42" s="3817">
        <v>1</v>
      </c>
      <c r="R42" s="816"/>
      <c r="S42" s="3818">
        <f>INDEX(PT_DIFFERENTIATION_NUM_NTAR,MATCH(A42,PT_DIFFERENTIATION_NTAR_ID,0))</f>
        <v>0</v>
      </c>
      <c r="T42" s="3764" t="s">
        <v>141</v>
      </c>
      <c r="U42" s="3819"/>
      <c r="V42" s="3820"/>
      <c r="W42" s="3821"/>
      <c r="X42" s="3821"/>
      <c r="Y42" s="3821"/>
      <c r="Z42" s="3821"/>
      <c r="AA42" s="3821"/>
      <c r="AB42" s="3821"/>
      <c r="AC42" s="3821"/>
      <c r="AD42" s="3821"/>
      <c r="AE42" s="3821"/>
      <c r="AF42" s="3822"/>
      <c r="AG42" s="3820" t="str">
        <f>INDEX(PT_DIFFERENTIATION_NTAR,MATCH(A42,PT_DIFFERENTIATION_NTAR_ID,0))</f>
        <v/>
      </c>
      <c r="AH42" s="3821"/>
      <c r="AI42" s="3821"/>
      <c r="AJ42" s="3821"/>
      <c r="AK42" s="3821"/>
      <c r="AL42" s="3821"/>
      <c r="AM42" s="3821"/>
      <c r="AN42" s="3821"/>
      <c r="AO42" s="3821"/>
      <c r="AP42" s="3821"/>
      <c r="AQ42" s="3821"/>
      <c r="AR42" s="3822"/>
      <c r="AS4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3479" t="str">
        <f>IF(T42="","",T42)</f>
        <v>Наименование тарифа</v>
      </c>
      <c r="AY42" s="3432">
        <v>23</v>
      </c>
    </row>
    <row customHeight="1" ht="24">
      <c r="A43" s="3857" t="s">
        <v>266</v>
      </c>
      <c r="B43" s="3857" t="s">
        <v>267</v>
      </c>
      <c r="E43" s="3824"/>
      <c r="F43" s="3817">
        <v>1</v>
      </c>
      <c r="Q43" s="3825"/>
      <c r="R43" s="3826"/>
      <c r="S43" s="3818" t="str">
        <f>INDEX(PT_DIFFERENTIATION_NUM_TER,MATCH(B43,PT_DIFFERENTIATION_TER_ID,0))</f>
        <v>.</v>
      </c>
      <c r="T43" s="3827" t="s">
        <v>412</v>
      </c>
      <c r="U43" s="3819"/>
      <c r="V43" s="3820"/>
      <c r="W43" s="3821"/>
      <c r="X43" s="3821"/>
      <c r="Y43" s="3821"/>
      <c r="Z43" s="3821"/>
      <c r="AA43" s="3821"/>
      <c r="AB43" s="3821"/>
      <c r="AC43" s="3821"/>
      <c r="AD43" s="3821"/>
      <c r="AE43" s="3821"/>
      <c r="AF43" s="3822"/>
      <c r="AG43" s="3820" t="str">
        <f>INDEX(PT_DIFFERENTIATION_TER,MATCH(B43,PT_DIFFERENTIATION_TER_ID,0))</f>
        <v/>
      </c>
      <c r="AH43" s="3821"/>
      <c r="AI43" s="3821"/>
      <c r="AJ43" s="3821"/>
      <c r="AK43" s="3821"/>
      <c r="AL43" s="3821"/>
      <c r="AM43" s="3821"/>
      <c r="AN43" s="3821"/>
      <c r="AO43" s="3821"/>
      <c r="AP43" s="3821"/>
      <c r="AQ43" s="3821"/>
      <c r="AR43" s="3822"/>
      <c r="AS43" s="3823" t="s">
        <v>413</v>
      </c>
      <c r="AV43" s="3479" t="str">
        <f>IF(T43="","",T43)</f>
        <v>Территория действия тарифа</v>
      </c>
      <c r="AY43" s="3432">
        <v>23</v>
      </c>
    </row>
    <row customHeight="1" ht="24">
      <c r="A44" s="3857" t="s">
        <v>266</v>
      </c>
      <c r="B44" s="3857" t="s">
        <v>267</v>
      </c>
      <c r="C44" s="3857" t="s">
        <v>268</v>
      </c>
      <c r="E44" s="3824"/>
      <c r="F44" s="3824"/>
      <c r="G44" s="3817">
        <v>1</v>
      </c>
      <c r="Q44" s="3825"/>
      <c r="R44" s="3826"/>
      <c r="S44" s="3818" t="str">
        <f>INDEX(PT_DIFFERENTIATION_NUM_CS,MATCH(C44,PT_DIFFERENTIATION_CS_ID,0))</f>
        <v>..</v>
      </c>
      <c r="T44" s="3828" t="s">
        <v>545</v>
      </c>
      <c r="U44" s="3819"/>
      <c r="V44" s="3820"/>
      <c r="W44" s="3821"/>
      <c r="X44" s="3821"/>
      <c r="Y44" s="3821"/>
      <c r="Z44" s="3821"/>
      <c r="AA44" s="3821"/>
      <c r="AB44" s="3821"/>
      <c r="AC44" s="3821"/>
      <c r="AD44" s="3821"/>
      <c r="AE44" s="3821"/>
      <c r="AF44" s="3822"/>
      <c r="AG44" s="3820" t="str">
        <f>INDEX(PT_DIFFERENTIATION_CS,MATCH(C44,PT_DIFFERENTIATION_CS_ID,0))</f>
        <v/>
      </c>
      <c r="AH44" s="3821"/>
      <c r="AI44" s="3821"/>
      <c r="AJ44" s="3821"/>
      <c r="AK44" s="3821"/>
      <c r="AL44" s="3821"/>
      <c r="AM44" s="3821"/>
      <c r="AN44" s="3821"/>
      <c r="AO44" s="3821"/>
      <c r="AP44" s="3821"/>
      <c r="AQ44" s="3821"/>
      <c r="AR44" s="3822"/>
      <c r="AS44" s="3823" t="s">
        <v>546</v>
      </c>
      <c r="AV44" s="3479" t="str">
        <f>IF(T44="","",T44)</f>
        <v>Наименование централизованной системы горячего водоснабжения</v>
      </c>
      <c r="AY44" s="3432">
        <v>23</v>
      </c>
    </row>
    <row customHeight="1" ht="24">
      <c r="A45" s="3857" t="s">
        <v>266</v>
      </c>
      <c r="B45" s="3857" t="s">
        <v>267</v>
      </c>
      <c r="C45" s="3857" t="s">
        <v>268</v>
      </c>
      <c r="D45" s="3857" t="s">
        <v>557</v>
      </c>
      <c r="E45" s="3824"/>
      <c r="F45" s="3824"/>
      <c r="G45" s="3824"/>
      <c r="H45" s="3824"/>
      <c r="I45" s="3711" t="str">
        <f>S44&amp;".1"</f>
        <v>...1</v>
      </c>
      <c r="P45" s="3471">
        <v>1</v>
      </c>
      <c r="R45" s="3831"/>
      <c r="S45" s="3818" t="str">
        <f>$I45</f>
        <v>...1</v>
      </c>
      <c r="T45" s="3832" t="s">
        <v>498</v>
      </c>
      <c r="U45" s="3819"/>
      <c r="V45" s="3938"/>
      <c r="W45" s="3939"/>
      <c r="X45" s="3939"/>
      <c r="Y45" s="3939"/>
      <c r="Z45" s="3939"/>
      <c r="AA45" s="3939"/>
      <c r="AB45" s="3939"/>
      <c r="AC45" s="3939"/>
      <c r="AD45" s="3939"/>
      <c r="AE45" s="3939"/>
      <c r="AF45" s="3940"/>
      <c r="AG45" s="1018"/>
      <c r="AH45" s="1031"/>
      <c r="AI45" s="1031"/>
      <c r="AJ45" s="1031"/>
      <c r="AK45" s="1031"/>
      <c r="AL45" s="1031"/>
      <c r="AM45" s="1031"/>
      <c r="AN45" s="1031"/>
      <c r="AO45" s="1031"/>
      <c r="AP45" s="1031"/>
      <c r="AQ45" s="1031"/>
      <c r="AR45" s="1032"/>
      <c r="AS45" s="3823" t="s">
        <v>499</v>
      </c>
      <c r="AV45" s="3479" t="str">
        <f>IF(T45="","",T45)</f>
        <v>Наименование признака дифференциации</v>
      </c>
      <c r="AY45" s="3432">
        <v>23</v>
      </c>
    </row>
    <row customHeight="1" ht="24">
      <c r="A46" s="3857" t="s">
        <v>266</v>
      </c>
      <c r="B46" s="3857" t="s">
        <v>267</v>
      </c>
      <c r="C46" s="3857" t="s">
        <v>268</v>
      </c>
      <c r="D46" s="3857" t="s">
        <v>557</v>
      </c>
      <c r="E46" s="3824"/>
      <c r="F46" s="3824"/>
      <c r="G46" s="3824"/>
      <c r="H46" s="3824"/>
      <c r="I46" s="3835"/>
      <c r="J46" s="3711" t="str">
        <f>I45&amp;".1"</f>
        <v>...1.1</v>
      </c>
      <c r="L46" s="3830" t="s">
        <v>421</v>
      </c>
      <c r="Q46" s="3471">
        <v>1</v>
      </c>
      <c r="R46" s="3836"/>
      <c r="S46" s="3818" t="str">
        <f>$J46</f>
        <v>...1.1</v>
      </c>
      <c r="T46" s="3837" t="s">
        <v>422</v>
      </c>
      <c r="U46" s="3819"/>
      <c r="V46" s="3638"/>
      <c r="W46" s="3833"/>
      <c r="X46" s="3833"/>
      <c r="Y46" s="3833"/>
      <c r="Z46" s="3833"/>
      <c r="AA46" s="3833"/>
      <c r="AB46" s="3833"/>
      <c r="AC46" s="3833"/>
      <c r="AD46" s="3833"/>
      <c r="AE46" s="3833"/>
      <c r="AF46" s="3834"/>
      <c r="AG46" s="3638"/>
      <c r="AH46" s="3833"/>
      <c r="AI46" s="3833"/>
      <c r="AJ46" s="3833"/>
      <c r="AK46" s="3833"/>
      <c r="AL46" s="3833"/>
      <c r="AM46" s="3833"/>
      <c r="AN46" s="3833"/>
      <c r="AO46" s="3833"/>
      <c r="AP46" s="3833"/>
      <c r="AQ46" s="3833"/>
      <c r="AR46" s="3834"/>
      <c r="AS46" s="3883" t="s">
        <v>500</v>
      </c>
      <c r="AV46" s="3479" t="str">
        <f>IF(T46="","",T46)</f>
        <v>Группа потребителей</v>
      </c>
      <c r="AY46" s="3432">
        <v>23</v>
      </c>
    </row>
    <row customHeight="1" ht="24">
      <c r="A47" s="3857" t="s">
        <v>266</v>
      </c>
      <c r="B47" s="3857" t="s">
        <v>267</v>
      </c>
      <c r="C47" s="3857" t="s">
        <v>268</v>
      </c>
      <c r="D47" s="3857" t="s">
        <v>557</v>
      </c>
      <c r="E47" s="3824"/>
      <c r="F47" s="3824"/>
      <c r="G47" s="3824"/>
      <c r="H47" s="3824"/>
      <c r="I47" s="3835"/>
      <c r="J47" s="3835"/>
      <c r="K47" s="3711" t="str">
        <f>J46&amp;".1"</f>
        <v>...1.1.1</v>
      </c>
      <c r="R47" s="3836">
        <v>1</v>
      </c>
      <c r="S47" s="3818" t="str">
        <f>$K47</f>
        <v>...1.1.1</v>
      </c>
      <c r="T47" s="1033"/>
      <c r="U47" s="3819"/>
      <c r="V47" s="838"/>
      <c r="W47" s="838"/>
      <c r="X47" s="838"/>
      <c r="Y47" s="838"/>
      <c r="Z47" s="838"/>
      <c r="AA47" s="838"/>
      <c r="AB47" s="838"/>
      <c r="AC47" s="858"/>
      <c r="AD47" s="616" t="s">
        <v>61</v>
      </c>
      <c r="AE47" s="858"/>
      <c r="AF47" s="616" t="s">
        <v>61</v>
      </c>
      <c r="AG47" s="838"/>
      <c r="AH47" s="838"/>
      <c r="AI47" s="838"/>
      <c r="AJ47" s="838"/>
      <c r="AK47" s="838"/>
      <c r="AL47" s="838"/>
      <c r="AM47" s="838"/>
      <c r="AN47" s="572"/>
      <c r="AO47" s="210" t="s">
        <v>61</v>
      </c>
      <c r="AP47" s="881"/>
      <c r="AQ47" s="210" t="s">
        <v>19</v>
      </c>
      <c r="AR47" s="1034"/>
      <c r="AS4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473">
        <f>STRCHECKDATE(V48:AR48)</f>
      </c>
      <c r="AV47" s="3479" t="str">
        <f>IF(T47="","",T47)</f>
        <v/>
      </c>
      <c r="AY47" s="3432">
        <v>23</v>
      </c>
    </row>
    <row customHeight="1" ht="0">
      <c r="A48" s="3857" t="s">
        <v>266</v>
      </c>
      <c r="B48" s="3857" t="s">
        <v>267</v>
      </c>
      <c r="C48" s="3857" t="s">
        <v>268</v>
      </c>
      <c r="D48" s="3857" t="s">
        <v>557</v>
      </c>
      <c r="E48" s="3824"/>
      <c r="F48" s="3824"/>
      <c r="G48" s="3824"/>
      <c r="H48" s="3824"/>
      <c r="I48" s="3835"/>
      <c r="J48" s="3835"/>
      <c r="K48" s="3711"/>
      <c r="R48" s="3836"/>
      <c r="S48" s="421"/>
      <c r="T48" s="3819"/>
      <c r="U48" s="3819"/>
      <c r="V48" s="719"/>
      <c r="W48" s="719"/>
      <c r="X48" s="719"/>
      <c r="Y48" s="719"/>
      <c r="Z48" s="719"/>
      <c r="AA48" s="719"/>
      <c r="AB48" s="719"/>
      <c r="AC48" s="616"/>
      <c r="AD48" s="616"/>
      <c r="AE48" s="616"/>
      <c r="AF48" s="616"/>
      <c r="AG48" s="839"/>
      <c r="AH48" s="839"/>
      <c r="AI48" s="839"/>
      <c r="AJ48" s="839"/>
      <c r="AK48" s="839"/>
      <c r="AL48" s="839"/>
      <c r="AM48" s="839"/>
      <c r="AN48" s="573"/>
      <c r="AO48" s="210"/>
      <c r="AP48" s="883"/>
      <c r="AQ48" s="210"/>
      <c r="AR48" s="1015"/>
      <c r="AS48" s="3941"/>
      <c r="AV48" s="3479" t="str">
        <f>IF(T48="","",T48)</f>
        <v/>
      </c>
      <c r="AY48" s="3432">
        <v>0</v>
      </c>
    </row>
    <row customHeight="1" ht="21">
      <c r="A49" s="3857" t="s">
        <v>266</v>
      </c>
      <c r="B49" s="3857" t="s">
        <v>267</v>
      </c>
      <c r="C49" s="3857" t="s">
        <v>268</v>
      </c>
      <c r="D49" s="3857" t="s">
        <v>557</v>
      </c>
      <c r="E49" s="3824"/>
      <c r="F49" s="3824"/>
      <c r="G49" s="3824"/>
      <c r="H49" s="3824"/>
      <c r="I49" s="3835"/>
      <c r="J49" s="3711"/>
      <c r="R49" s="3831"/>
      <c r="S49" s="844"/>
      <c r="T49" s="848" t="s">
        <v>501</v>
      </c>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3823" t="s">
        <v>502</v>
      </c>
      <c r="AV49" s="3479" t="str">
        <f>IF(T49="","",T49)</f>
        <v>Добавить значение признака дифференциации</v>
      </c>
      <c r="AY49" s="3432">
        <v>20</v>
      </c>
    </row>
    <row customHeight="1" ht="22.049999999999997">
      <c r="A50" s="3857" t="s">
        <v>266</v>
      </c>
      <c r="B50" s="3857" t="s">
        <v>267</v>
      </c>
      <c r="C50" s="3857" t="s">
        <v>268</v>
      </c>
      <c r="D50" s="3857" t="s">
        <v>557</v>
      </c>
      <c r="E50" s="3824"/>
      <c r="F50" s="3824"/>
      <c r="G50" s="3824"/>
      <c r="H50" s="3824"/>
      <c r="I50" s="3711"/>
      <c r="R50" s="3831"/>
      <c r="S50" s="844"/>
      <c r="T50" s="851" t="s">
        <v>427</v>
      </c>
      <c r="U50" s="200"/>
      <c r="V50" s="200"/>
      <c r="W50" s="200"/>
      <c r="X50" s="200"/>
      <c r="Y50" s="200"/>
      <c r="Z50" s="200"/>
      <c r="AA50" s="200"/>
      <c r="AB50" s="200"/>
      <c r="AC50" s="200"/>
      <c r="AD50" s="200"/>
      <c r="AE50" s="200"/>
      <c r="AF50" s="849"/>
      <c r="AG50" s="200"/>
      <c r="AH50" s="200"/>
      <c r="AI50" s="200"/>
      <c r="AJ50" s="200"/>
      <c r="AK50" s="200"/>
      <c r="AL50" s="200"/>
      <c r="AM50" s="200"/>
      <c r="AN50" s="200"/>
      <c r="AO50" s="200"/>
      <c r="AP50" s="200"/>
      <c r="AQ50" s="849"/>
      <c r="AR50" s="200"/>
      <c r="AS50" s="1036"/>
      <c r="AV50" s="3479" t="str">
        <f>IF(T50="","",T50)</f>
        <v>Добавить группу потребителей</v>
      </c>
      <c r="AY50" s="3432">
        <v>21</v>
      </c>
    </row>
    <row customHeight="1" ht="22.049999999999997">
      <c r="A51" s="3857" t="s">
        <v>266</v>
      </c>
      <c r="B51" s="3857" t="s">
        <v>267</v>
      </c>
      <c r="C51" s="3857" t="s">
        <v>268</v>
      </c>
      <c r="D51" s="3857" t="s">
        <v>557</v>
      </c>
      <c r="E51" s="3824"/>
      <c r="F51" s="3824"/>
      <c r="G51" s="3824"/>
      <c r="H51" s="3817"/>
      <c r="R51" s="816"/>
      <c r="S51" s="844"/>
      <c r="T51" s="994" t="s">
        <v>503</v>
      </c>
      <c r="U51" s="200"/>
      <c r="V51" s="200"/>
      <c r="W51" s="200"/>
      <c r="X51" s="200"/>
      <c r="Y51" s="200"/>
      <c r="Z51" s="200"/>
      <c r="AA51" s="200"/>
      <c r="AB51" s="200"/>
      <c r="AC51" s="200"/>
      <c r="AD51" s="200"/>
      <c r="AE51" s="200"/>
      <c r="AF51" s="849"/>
      <c r="AG51" s="200"/>
      <c r="AH51" s="200"/>
      <c r="AI51" s="200"/>
      <c r="AJ51" s="200"/>
      <c r="AK51" s="200"/>
      <c r="AL51" s="200"/>
      <c r="AM51" s="200"/>
      <c r="AN51" s="200"/>
      <c r="AO51" s="200"/>
      <c r="AP51" s="200"/>
      <c r="AQ51" s="849"/>
      <c r="AR51" s="200"/>
      <c r="AS51" s="850"/>
      <c r="AV51" s="3479" t="str">
        <f>IF(T51="","",T51)</f>
        <v>Добавить наименование признака дифференциации</v>
      </c>
      <c r="AY51" s="3432">
        <v>21</v>
      </c>
    </row>
    <row customHeight="1" ht="0">
      <c r="A52" s="3470" t="s">
        <v>266</v>
      </c>
      <c r="B52" s="3470" t="s">
        <v>267</v>
      </c>
      <c r="E52" s="3824"/>
      <c r="F52" s="3817"/>
      <c r="T52" s="856" t="s">
        <v>430</v>
      </c>
      <c r="AV52" s="3479" t="str">
        <f>IF(T52="","",T52)</f>
        <v>Добавить централизованную систему для дифференциации</v>
      </c>
      <c r="AY52" s="3473">
        <v>0</v>
      </c>
    </row>
    <row customHeight="1" ht="0">
      <c r="A53" s="3470" t="s">
        <v>266</v>
      </c>
      <c r="E53" s="3817"/>
      <c r="T53" s="856" t="s">
        <v>431</v>
      </c>
      <c r="AV53" s="3479" t="str">
        <f>IF(T53="","",T53)</f>
        <v>Добавить территорию для дифференциации</v>
      </c>
      <c r="AY53" s="3473">
        <v>0</v>
      </c>
    </row>
    <row customHeight="1" ht="0">
      <c r="T54" s="856" t="s">
        <v>463</v>
      </c>
      <c r="AV54" s="3479" t="str">
        <f>IF(T54="","",T54)</f>
        <v>Добавить наименование тарифа</v>
      </c>
      <c r="AY54" s="3473">
        <v>0</v>
      </c>
    </row>
    <row customHeight="1" ht="11.549999999999999">
      <c r="AY55" s="3432">
        <v>11</v>
      </c>
    </row>
    <row customHeight="1" ht="14.699999999999998">
      <c r="AY56" s="3432">
        <v>14</v>
      </c>
    </row>
    <row customHeight="1" ht="14.699999999999998">
      <c r="AY57" s="3432">
        <v>14</v>
      </c>
    </row>
    <row customHeight="1" ht="14.699999999999998">
      <c r="AY58" s="3432">
        <v>14</v>
      </c>
    </row>
    <row customHeight="1" ht="22.5" hidden="1">
      <c r="A59" s="3449" t="s">
        <v>80</v>
      </c>
      <c r="B59" s="3449">
        <v>0</v>
      </c>
      <c r="C59" s="3449">
        <v>0</v>
      </c>
      <c r="D59" s="3449">
        <v>0</v>
      </c>
      <c r="E59" s="3449">
        <v>0</v>
      </c>
      <c r="F59" s="3449">
        <v>0</v>
      </c>
      <c r="G59" s="3449">
        <v>0</v>
      </c>
      <c r="H59" s="3449">
        <v>0</v>
      </c>
      <c r="I59" s="3449">
        <v>0</v>
      </c>
      <c r="J59" s="3449">
        <v>0</v>
      </c>
      <c r="K59" s="3449">
        <v>0</v>
      </c>
      <c r="L59" s="3618">
        <v>0</v>
      </c>
      <c r="M59" s="105">
        <v>0</v>
      </c>
      <c r="N59" s="105">
        <v>0</v>
      </c>
      <c r="O59" s="105">
        <v>0</v>
      </c>
      <c r="P59" s="782">
        <v>3</v>
      </c>
      <c r="Q59" s="3797">
        <v>3</v>
      </c>
      <c r="R59" s="3797">
        <v>3</v>
      </c>
      <c r="S59" s="3447">
        <v>12</v>
      </c>
      <c r="T59" s="3432">
        <v>35</v>
      </c>
      <c r="U59" s="3432">
        <v>0</v>
      </c>
      <c r="V59" s="3432">
        <v>0</v>
      </c>
      <c r="W59" s="3432">
        <v>0</v>
      </c>
      <c r="X59" s="3432">
        <v>0</v>
      </c>
      <c r="Y59" s="3432">
        <v>0</v>
      </c>
      <c r="Z59" s="3432">
        <v>0</v>
      </c>
      <c r="AA59" s="3432">
        <v>0</v>
      </c>
      <c r="AB59" s="3432">
        <v>0</v>
      </c>
      <c r="AC59" s="3432">
        <v>0</v>
      </c>
      <c r="AD59" s="3432">
        <v>0</v>
      </c>
      <c r="AE59" s="3432">
        <v>0</v>
      </c>
      <c r="AF59" s="3432">
        <v>0</v>
      </c>
      <c r="AG59" s="3432">
        <v>19</v>
      </c>
      <c r="AH59" s="3432">
        <v>19</v>
      </c>
      <c r="AI59" s="3432">
        <v>19</v>
      </c>
      <c r="AJ59" s="3432">
        <v>19</v>
      </c>
      <c r="AK59" s="3432">
        <v>19</v>
      </c>
      <c r="AL59" s="3432">
        <v>19</v>
      </c>
      <c r="AM59" s="3432">
        <v>19</v>
      </c>
      <c r="AN59" s="3432">
        <v>11</v>
      </c>
      <c r="AO59" s="3432">
        <v>3</v>
      </c>
      <c r="AP59" s="3432">
        <v>11</v>
      </c>
      <c r="AQ59" s="3432">
        <v>0</v>
      </c>
      <c r="AR59" s="3432">
        <v>4</v>
      </c>
      <c r="AS59" s="3432">
        <v>115</v>
      </c>
      <c r="AT59" s="3473">
        <v>10</v>
      </c>
      <c r="AU59" s="3473">
        <v>10</v>
      </c>
      <c r="AV59" s="3473">
        <v>10</v>
      </c>
      <c r="AW59" s="3473">
        <v>10</v>
      </c>
      <c r="AX59" s="3473">
        <v>10</v>
      </c>
      <c r="AY59" s="343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B6155-8B1D-B6F5-5A1E-E2AD6CD69C5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4.140625" hidden="1" customWidth="1"/>
    <col min="10" max="10" style="7348" width="9.8515625" hidden="1" customWidth="1"/>
    <col min="11" max="11" style="7348" width="14.7109375" hidden="1" customWidth="1"/>
    <col min="12" max="12" style="7348" width="19.140625" hidden="1" customWidth="1"/>
    <col min="13" max="14" style="7348" width="12.28125" hidden="1" customWidth="1"/>
    <col min="15" max="15" style="7348" width="23.421875" hidden="1" customWidth="1"/>
    <col min="16" max="18" style="7348" width="3.00390625" customWidth="1"/>
    <col min="19" max="19" style="7348" width="12.00390625" customWidth="1"/>
    <col min="20" max="20" style="7348" width="35.00390625" customWidth="1"/>
    <col min="21" max="21" style="7348" width="0.140625" customWidth="1"/>
    <col min="22" max="28" style="7348" width="19.7109375" hidden="1" customWidth="1"/>
    <col min="29" max="29" style="7348" width="11.7109375" hidden="1" customWidth="1"/>
    <col min="30" max="30" style="7348" width="3.7109375" hidden="1" customWidth="1"/>
    <col min="31" max="31" style="7348" width="11.7109375" hidden="1" customWidth="1"/>
    <col min="32" max="32" style="7348" width="8.57421875" hidden="1" customWidth="1"/>
    <col min="33" max="33" style="7348" width="19.7109375" customWidth="1"/>
    <col min="34" max="39" style="7348" width="19.00390625" customWidth="1"/>
    <col min="40" max="40" style="7348" width="11.00390625" customWidth="1"/>
    <col min="41" max="41" style="7348" width="3.7109375" customWidth="1"/>
    <col min="42" max="42" style="7348" width="11.00390625" customWidth="1"/>
    <col min="43" max="43" style="7348" width="8.57421875" hidden="1" customWidth="1"/>
    <col min="44" max="44" style="7348" width="4.00390625" customWidth="1"/>
    <col min="45" max="45" style="7348" width="115.00390625" customWidth="1"/>
    <col min="46" max="50" style="7348" width="10.00390625" customWidth="1"/>
    <col min="51" max="51" style="7348" width="10.57421875" hidden="1"/>
  </cols>
  <sheetData>
    <row customHeight="1" ht="22.5" hidden="1">
      <c r="AY1" s="3432" t="s">
        <v>14</v>
      </c>
    </row>
    <row customHeight="1" ht="23.25" hidden="1">
      <c r="E2" s="3817">
        <v>1</v>
      </c>
      <c r="R2" s="816"/>
      <c r="S2" s="3818">
        <f>INDEX(PT_DIFFERENTIATION_NUM_NTAR,MATCH(A2,PT_DIFFERENTIATION_NTAR_ID,0))</f>
      </c>
      <c r="T2" s="3764" t="s">
        <v>141</v>
      </c>
      <c r="U2" s="3819"/>
      <c r="V2" s="3820"/>
      <c r="W2" s="3821"/>
      <c r="X2" s="3821"/>
      <c r="Y2" s="3821"/>
      <c r="Z2" s="3821"/>
      <c r="AA2" s="3821"/>
      <c r="AB2" s="3821"/>
      <c r="AC2" s="3821"/>
      <c r="AD2" s="3821"/>
      <c r="AE2" s="3821"/>
      <c r="AF2" s="3822"/>
      <c r="AG2" s="3820">
        <f>INDEX(PT_DIFFERENTIATION_NTAR,MATCH(A2,PT_DIFFERENTIATION_NTAR_ID,0))</f>
      </c>
      <c r="AH2" s="3821"/>
      <c r="AI2" s="3821"/>
      <c r="AJ2" s="3821"/>
      <c r="AK2" s="3821"/>
      <c r="AL2" s="3821"/>
      <c r="AM2" s="3821"/>
      <c r="AN2" s="3821"/>
      <c r="AO2" s="3821"/>
      <c r="AP2" s="3821"/>
      <c r="AQ2" s="3821"/>
      <c r="AR2" s="3822"/>
      <c r="AS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3479" t="str">
        <f>IF(T2="","",T2)</f>
        <v>Наименование тарифа</v>
      </c>
      <c r="AY2" s="3432">
        <v>0</v>
      </c>
    </row>
    <row customHeight="1" ht="23.25" hidden="1">
      <c r="E3" s="3824"/>
      <c r="F3" s="3817">
        <v>1</v>
      </c>
      <c r="Q3" s="3825"/>
      <c r="R3" s="3826"/>
      <c r="S3" s="3818">
        <f>INDEX(PT_DIFFERENTIATION_NUM_TER,MATCH(B3,PT_DIFFERENTIATION_TER_ID,0))</f>
      </c>
      <c r="T3" s="3827" t="s">
        <v>412</v>
      </c>
      <c r="U3" s="3819"/>
      <c r="V3" s="3820"/>
      <c r="W3" s="3821"/>
      <c r="X3" s="3821"/>
      <c r="Y3" s="3821"/>
      <c r="Z3" s="3821"/>
      <c r="AA3" s="3821"/>
      <c r="AB3" s="3821"/>
      <c r="AC3" s="3821"/>
      <c r="AD3" s="3821"/>
      <c r="AE3" s="3821"/>
      <c r="AF3" s="3822"/>
      <c r="AG3" s="3820">
        <f>INDEX(PT_DIFFERENTIATION_TER,MATCH(B3,PT_DIFFERENTIATION_TER_ID,0))</f>
      </c>
      <c r="AH3" s="3821"/>
      <c r="AI3" s="3821"/>
      <c r="AJ3" s="3821"/>
      <c r="AK3" s="3821"/>
      <c r="AL3" s="3821"/>
      <c r="AM3" s="3821"/>
      <c r="AN3" s="3821"/>
      <c r="AO3" s="3821"/>
      <c r="AP3" s="3821"/>
      <c r="AQ3" s="3821"/>
      <c r="AR3" s="3822"/>
      <c r="AS3" s="3823" t="s">
        <v>413</v>
      </c>
      <c r="AV3" s="3479" t="str">
        <f>IF(T3="","",T3)</f>
        <v>Территория действия тарифа</v>
      </c>
      <c r="AY3" s="3432">
        <v>0</v>
      </c>
    </row>
    <row customHeight="1" ht="23.25" hidden="1">
      <c r="E4" s="3824"/>
      <c r="F4" s="3824"/>
      <c r="G4" s="3817">
        <v>1</v>
      </c>
      <c r="Q4" s="3825"/>
      <c r="R4" s="3826"/>
      <c r="S4" s="3818">
        <f>INDEX(PT_DIFFERENTIATION_NUM_CS,MATCH(C4,PT_DIFFERENTIATION_CS_ID,0))</f>
      </c>
      <c r="T4" s="3828" t="s">
        <v>545</v>
      </c>
      <c r="U4" s="3819"/>
      <c r="V4" s="3820"/>
      <c r="W4" s="3821"/>
      <c r="X4" s="3821"/>
      <c r="Y4" s="3821"/>
      <c r="Z4" s="3821"/>
      <c r="AA4" s="3821"/>
      <c r="AB4" s="3821"/>
      <c r="AC4" s="3821"/>
      <c r="AD4" s="3821"/>
      <c r="AE4" s="3821"/>
      <c r="AF4" s="3822"/>
      <c r="AG4" s="3820">
        <f>INDEX(PT_DIFFERENTIATION_CS,MATCH(C4,PT_DIFFERENTIATION_CS_ID,0))</f>
      </c>
      <c r="AH4" s="3821"/>
      <c r="AI4" s="3821"/>
      <c r="AJ4" s="3821"/>
      <c r="AK4" s="3821"/>
      <c r="AL4" s="3821"/>
      <c r="AM4" s="3821"/>
      <c r="AN4" s="3821"/>
      <c r="AO4" s="3821"/>
      <c r="AP4" s="3821"/>
      <c r="AQ4" s="3821"/>
      <c r="AR4" s="3822"/>
      <c r="AS4" s="3823" t="s">
        <v>546</v>
      </c>
      <c r="AV4" s="3479" t="str">
        <f>IF(T4="","",T4)</f>
        <v>Наименование централизованной системы горячего водоснабжения</v>
      </c>
      <c r="AY4" s="3432">
        <v>0</v>
      </c>
    </row>
    <row customHeight="1" ht="23.25" hidden="1">
      <c r="E5" s="3824"/>
      <c r="F5" s="3824"/>
      <c r="G5" s="3824"/>
      <c r="H5" s="3824"/>
      <c r="I5" s="3711">
        <f>S4&amp;".1"</f>
      </c>
      <c r="P5" s="3471">
        <v>1</v>
      </c>
      <c r="R5" s="3831"/>
      <c r="S5" s="3818">
        <f>$I5</f>
      </c>
      <c r="T5" s="3832" t="s">
        <v>498</v>
      </c>
      <c r="U5" s="3819"/>
      <c r="V5" s="3938"/>
      <c r="W5" s="3939"/>
      <c r="X5" s="3939"/>
      <c r="Y5" s="3939"/>
      <c r="Z5" s="3939"/>
      <c r="AA5" s="3939"/>
      <c r="AB5" s="3939"/>
      <c r="AC5" s="3939"/>
      <c r="AD5" s="3939"/>
      <c r="AE5" s="3939"/>
      <c r="AF5" s="3940"/>
      <c r="AG5" s="1018"/>
      <c r="AH5" s="1031"/>
      <c r="AI5" s="1031"/>
      <c r="AJ5" s="1031"/>
      <c r="AK5" s="1031"/>
      <c r="AL5" s="1031"/>
      <c r="AM5" s="1031"/>
      <c r="AN5" s="1031"/>
      <c r="AO5" s="1031"/>
      <c r="AP5" s="1031"/>
      <c r="AQ5" s="1031"/>
      <c r="AR5" s="1032"/>
      <c r="AS5" s="3823" t="s">
        <v>499</v>
      </c>
      <c r="AV5" s="3479" t="str">
        <f>IF(T5="","",T5)</f>
        <v>Наименование признака дифференциации</v>
      </c>
      <c r="AY5" s="3432">
        <v>0</v>
      </c>
    </row>
    <row customHeight="1" ht="23.25" hidden="1">
      <c r="E6" s="3824"/>
      <c r="F6" s="3824"/>
      <c r="G6" s="3824"/>
      <c r="H6" s="3824"/>
      <c r="I6" s="3835"/>
      <c r="J6" s="3711">
        <f>I5&amp;".1"</f>
      </c>
      <c r="L6" s="3830" t="s">
        <v>421</v>
      </c>
      <c r="Q6" s="3471">
        <v>1</v>
      </c>
      <c r="R6" s="3836"/>
      <c r="S6" s="3818">
        <f>$J6</f>
      </c>
      <c r="T6" s="3837" t="s">
        <v>422</v>
      </c>
      <c r="U6" s="3819"/>
      <c r="V6" s="3638"/>
      <c r="W6" s="3833"/>
      <c r="X6" s="3833"/>
      <c r="Y6" s="3833"/>
      <c r="Z6" s="3833"/>
      <c r="AA6" s="3833"/>
      <c r="AB6" s="3833"/>
      <c r="AC6" s="3833"/>
      <c r="AD6" s="3833"/>
      <c r="AE6" s="3833"/>
      <c r="AF6" s="3834"/>
      <c r="AG6" s="3638"/>
      <c r="AH6" s="3833"/>
      <c r="AI6" s="3833"/>
      <c r="AJ6" s="3833"/>
      <c r="AK6" s="3833"/>
      <c r="AL6" s="3833"/>
      <c r="AM6" s="3833"/>
      <c r="AN6" s="3833"/>
      <c r="AO6" s="3833"/>
      <c r="AP6" s="3833"/>
      <c r="AQ6" s="3833"/>
      <c r="AR6" s="3834"/>
      <c r="AS6" s="3883" t="s">
        <v>500</v>
      </c>
      <c r="AV6" s="3479" t="str">
        <f>IF(T6="","",T6)</f>
        <v>Группа потребителей</v>
      </c>
      <c r="AY6" s="3432">
        <v>0</v>
      </c>
    </row>
    <row customHeight="1" ht="23.25" hidden="1">
      <c r="E7" s="3824"/>
      <c r="F7" s="3824"/>
      <c r="G7" s="3824"/>
      <c r="H7" s="3824"/>
      <c r="I7" s="3835"/>
      <c r="J7" s="3835"/>
      <c r="K7" s="3711">
        <f>J6&amp;".1"</f>
      </c>
      <c r="R7" s="3836">
        <v>1</v>
      </c>
      <c r="S7" s="3818">
        <f>$K7</f>
      </c>
      <c r="T7" s="1033"/>
      <c r="U7" s="3819"/>
      <c r="V7" s="838"/>
      <c r="W7" s="838"/>
      <c r="X7" s="838"/>
      <c r="Y7" s="838"/>
      <c r="Z7" s="838"/>
      <c r="AA7" s="838"/>
      <c r="AB7" s="840"/>
      <c r="AC7" s="572"/>
      <c r="AD7" s="210" t="s">
        <v>61</v>
      </c>
      <c r="AE7" s="572"/>
      <c r="AF7" s="210" t="s">
        <v>61</v>
      </c>
      <c r="AG7" s="838"/>
      <c r="AH7" s="838"/>
      <c r="AI7" s="838"/>
      <c r="AJ7" s="838"/>
      <c r="AK7" s="838"/>
      <c r="AL7" s="838"/>
      <c r="AM7" s="840"/>
      <c r="AN7" s="572"/>
      <c r="AO7" s="210" t="s">
        <v>61</v>
      </c>
      <c r="AP7" s="881"/>
      <c r="AQ7" s="210" t="s">
        <v>61</v>
      </c>
      <c r="AR7" s="1034"/>
      <c r="AS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473">
        <f>STRCHECKDATE(V8:AR8)</f>
      </c>
      <c r="AV7" s="3479" t="str">
        <f>IF(T7="","",T7)</f>
        <v/>
      </c>
      <c r="AY7" s="3432">
        <v>0</v>
      </c>
    </row>
    <row customHeight="1" ht="14.25" hidden="1">
      <c r="E8" s="3824"/>
      <c r="F8" s="3824"/>
      <c r="G8" s="3824"/>
      <c r="H8" s="3824"/>
      <c r="I8" s="3835"/>
      <c r="J8" s="3835"/>
      <c r="K8" s="3711"/>
      <c r="R8" s="3836"/>
      <c r="S8" s="421"/>
      <c r="T8" s="3819"/>
      <c r="U8" s="3819"/>
      <c r="V8" s="839"/>
      <c r="W8" s="839"/>
      <c r="X8" s="839"/>
      <c r="Y8" s="839"/>
      <c r="Z8" s="839"/>
      <c r="AA8" s="839"/>
      <c r="AB8" s="842" t="str">
        <f>AC7&amp;"-"&amp;AE7</f>
        <v>-</v>
      </c>
      <c r="AC8" s="573"/>
      <c r="AD8" s="210"/>
      <c r="AE8" s="573"/>
      <c r="AF8" s="210"/>
      <c r="AG8" s="839"/>
      <c r="AH8" s="839"/>
      <c r="AI8" s="839"/>
      <c r="AJ8" s="839"/>
      <c r="AK8" s="839"/>
      <c r="AL8" s="839"/>
      <c r="AM8" s="842" t="str">
        <f>AN7&amp;"-"&amp;AP7</f>
        <v>-</v>
      </c>
      <c r="AN8" s="573"/>
      <c r="AO8" s="210"/>
      <c r="AP8" s="883"/>
      <c r="AQ8" s="210"/>
      <c r="AR8" s="1015"/>
      <c r="AS8" s="3941"/>
      <c r="AV8" s="3479" t="str">
        <f>IF(T8="","",T8)</f>
        <v/>
      </c>
      <c r="AY8" s="3432">
        <v>0</v>
      </c>
    </row>
    <row customHeight="1" ht="21" hidden="1">
      <c r="E9" s="3824"/>
      <c r="F9" s="3824"/>
      <c r="G9" s="3824"/>
      <c r="H9" s="3824"/>
      <c r="I9" s="3835"/>
      <c r="J9" s="3711"/>
      <c r="R9" s="3831"/>
      <c r="S9" s="844"/>
      <c r="T9" s="848" t="s">
        <v>501</v>
      </c>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3823" t="s">
        <v>502</v>
      </c>
      <c r="AV9" s="3479" t="str">
        <f>IF(T9="","",T9)</f>
        <v>Добавить значение признака дифференциации</v>
      </c>
      <c r="AY9" s="3432">
        <v>0</v>
      </c>
    </row>
    <row customHeight="1" ht="21" hidden="1">
      <c r="E10" s="3824"/>
      <c r="F10" s="3824"/>
      <c r="G10" s="3824"/>
      <c r="H10" s="3824"/>
      <c r="I10" s="3711"/>
      <c r="R10" s="3831"/>
      <c r="S10" s="844"/>
      <c r="T10" s="851" t="s">
        <v>427</v>
      </c>
      <c r="U10" s="200"/>
      <c r="V10" s="200"/>
      <c r="W10" s="200"/>
      <c r="X10" s="200"/>
      <c r="Y10" s="200"/>
      <c r="Z10" s="200"/>
      <c r="AA10" s="200"/>
      <c r="AB10" s="200"/>
      <c r="AC10" s="200"/>
      <c r="AD10" s="200"/>
      <c r="AE10" s="200"/>
      <c r="AF10" s="849"/>
      <c r="AG10" s="200"/>
      <c r="AH10" s="200"/>
      <c r="AI10" s="200"/>
      <c r="AJ10" s="200"/>
      <c r="AK10" s="200"/>
      <c r="AL10" s="200"/>
      <c r="AM10" s="200"/>
      <c r="AN10" s="200"/>
      <c r="AO10" s="200"/>
      <c r="AP10" s="200"/>
      <c r="AQ10" s="849"/>
      <c r="AR10" s="200"/>
      <c r="AS10" s="1036"/>
      <c r="AV10" s="3479" t="str">
        <f>IF(T10="","",T10)</f>
        <v>Добавить группу потребителей</v>
      </c>
      <c r="AY10" s="3432">
        <v>0</v>
      </c>
    </row>
    <row customHeight="1" ht="21" hidden="1">
      <c r="E11" s="3824"/>
      <c r="F11" s="3824"/>
      <c r="G11" s="3824"/>
      <c r="H11" s="3817"/>
      <c r="R11" s="816"/>
      <c r="S11" s="844"/>
      <c r="T11" s="994" t="s">
        <v>503</v>
      </c>
      <c r="U11" s="200"/>
      <c r="V11" s="200"/>
      <c r="W11" s="200"/>
      <c r="X11" s="200"/>
      <c r="Y11" s="200"/>
      <c r="Z11" s="200"/>
      <c r="AA11" s="200"/>
      <c r="AB11" s="200"/>
      <c r="AC11" s="200"/>
      <c r="AD11" s="200"/>
      <c r="AE11" s="200"/>
      <c r="AF11" s="849"/>
      <c r="AG11" s="200"/>
      <c r="AH11" s="200"/>
      <c r="AI11" s="200"/>
      <c r="AJ11" s="200"/>
      <c r="AK11" s="200"/>
      <c r="AL11" s="200"/>
      <c r="AM11" s="200"/>
      <c r="AN11" s="200"/>
      <c r="AO11" s="200"/>
      <c r="AP11" s="200"/>
      <c r="AQ11" s="849"/>
      <c r="AR11" s="200"/>
      <c r="AS11" s="850"/>
      <c r="AV11" s="3479" t="str">
        <f>IF(T11="","",T11)</f>
        <v>Добавить наименование признака дифференциации</v>
      </c>
      <c r="AY11" s="3432">
        <v>0</v>
      </c>
    </row>
    <row customHeight="1" ht="14.25" hidden="1">
      <c r="E12" s="3824"/>
      <c r="F12" s="3817"/>
      <c r="T12" s="856" t="s">
        <v>430</v>
      </c>
      <c r="AV12" s="3479" t="str">
        <f>IF(T12="","",T12)</f>
        <v>Добавить централизованную систему для дифференциации</v>
      </c>
      <c r="AY12" s="3473">
        <v>0</v>
      </c>
    </row>
    <row customHeight="1" ht="14.25" hidden="1">
      <c r="E13" s="3817"/>
      <c r="T13" s="856" t="s">
        <v>431</v>
      </c>
      <c r="AV13" s="3479" t="str">
        <f>IF(T13="","",T13)</f>
        <v>Добавить территорию для дифференциации</v>
      </c>
      <c r="AY13" s="3473">
        <v>0</v>
      </c>
    </row>
    <row customHeight="1" ht="14.25" hidden="1">
      <c r="AY14" s="3432">
        <v>0</v>
      </c>
    </row>
    <row customHeight="1" ht="14.25" hidden="1">
      <c r="AG15" s="719"/>
      <c r="AH15" s="719"/>
      <c r="AI15" s="719"/>
      <c r="AJ15" s="719"/>
      <c r="AK15" s="719"/>
      <c r="AL15" s="719"/>
      <c r="AM15" s="857"/>
      <c r="AN15" s="858"/>
      <c r="AO15" s="616" t="s">
        <v>61</v>
      </c>
      <c r="AP15" s="858"/>
      <c r="AQ15" s="616" t="s">
        <v>61</v>
      </c>
      <c r="AY15" s="3432">
        <v>0</v>
      </c>
    </row>
    <row customHeight="1" ht="14.25" hidden="1">
      <c r="AG16" s="719"/>
      <c r="AH16" s="719"/>
      <c r="AI16" s="719"/>
      <c r="AJ16" s="719"/>
      <c r="AK16" s="719"/>
      <c r="AL16" s="719"/>
      <c r="AM16" s="842" t="str">
        <f>AN15&amp;"-"&amp;AP15</f>
        <v>-</v>
      </c>
      <c r="AN16" s="616"/>
      <c r="AO16" s="616"/>
      <c r="AP16" s="616"/>
      <c r="AQ16" s="616"/>
      <c r="AY16" s="3432">
        <v>0</v>
      </c>
    </row>
    <row customHeight="1" ht="14.25" hidden="1">
      <c r="AY17" s="3432">
        <v>0</v>
      </c>
    </row>
    <row customHeight="1" ht="22.5" hidden="1">
      <c r="O18" s="859" t="s">
        <v>432</v>
      </c>
      <c r="AC18" s="859"/>
      <c r="AE18" s="859"/>
      <c r="AN18" s="859"/>
      <c r="AP18" s="859"/>
      <c r="AY18" s="3449">
        <v>0</v>
      </c>
    </row>
    <row customHeight="1" ht="14.25" hidden="1">
      <c r="AY19" s="3449">
        <v>0</v>
      </c>
    </row>
    <row customHeight="1" ht="12" hidden="1">
      <c r="O20" s="3830" t="s">
        <v>433</v>
      </c>
      <c r="T20" s="3449" t="s">
        <v>434</v>
      </c>
      <c r="AD20" s="3511" t="s">
        <v>435</v>
      </c>
      <c r="AF20" s="3511" t="s">
        <v>436</v>
      </c>
      <c r="AG20" s="3449" t="s">
        <v>434</v>
      </c>
      <c r="AO20" s="3511" t="s">
        <v>437</v>
      </c>
      <c r="AQ20" s="3511" t="s">
        <v>436</v>
      </c>
      <c r="AY20" s="3449">
        <v>0</v>
      </c>
    </row>
    <row customHeight="1" ht="14.25" hidden="1">
      <c r="AY21" s="3432">
        <v>0</v>
      </c>
    </row>
    <row customHeight="1" ht="14.25" hidden="1">
      <c r="AY22" s="3432">
        <v>0</v>
      </c>
    </row>
    <row customHeight="1" ht="14.699999999999998">
      <c r="Q23" s="3719"/>
      <c r="R23" s="3719"/>
      <c r="S23" s="3842"/>
      <c r="T23" s="3450"/>
      <c r="U23" s="3450"/>
      <c r="AY23" s="3432">
        <v>14</v>
      </c>
    </row>
    <row customHeight="1" ht="26.25">
      <c r="Q24" s="3719"/>
      <c r="R24" s="3719"/>
      <c r="S24" s="3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646"/>
      <c r="U24" s="3646"/>
      <c r="V24" s="3646"/>
      <c r="W24" s="3646"/>
      <c r="X24" s="3646"/>
      <c r="Y24" s="3646"/>
      <c r="Z24" s="3646"/>
      <c r="AA24" s="3646"/>
      <c r="AB24" s="3646"/>
      <c r="AC24" s="3646"/>
      <c r="AD24" s="3646"/>
      <c r="AE24" s="3646"/>
      <c r="AF24" s="3646"/>
      <c r="AG24" s="3646"/>
      <c r="AH24" s="3646"/>
      <c r="AI24" s="3646"/>
      <c r="AJ24" s="3646"/>
      <c r="AK24" s="3646"/>
      <c r="AL24" s="3646"/>
      <c r="AM24" s="3646"/>
      <c r="AN24" s="3646"/>
      <c r="AO24" s="3646"/>
      <c r="AP24" s="3646"/>
      <c r="AY24" s="3432">
        <v>25</v>
      </c>
    </row>
    <row customHeight="1" ht="14.699999999999998">
      <c r="Q25" s="3719"/>
      <c r="R25" s="3719"/>
      <c r="S25" s="3554" t="str">
        <f>IF(org=0,"Не определено",org)</f>
        <v>ООО "ТеплоЭлектроГенерирующая Компания"</v>
      </c>
      <c r="T25" s="3554"/>
      <c r="U25" s="3554"/>
      <c r="V25" s="3554"/>
      <c r="W25" s="3554"/>
      <c r="X25" s="3554"/>
      <c r="Y25" s="3554"/>
      <c r="Z25" s="3554"/>
      <c r="AA25" s="3554"/>
      <c r="AB25" s="3554"/>
      <c r="AC25" s="3554"/>
      <c r="AD25" s="3554"/>
      <c r="AE25" s="3554"/>
      <c r="AF25" s="3554"/>
      <c r="AG25" s="3554"/>
      <c r="AH25" s="3554"/>
      <c r="AI25" s="3554"/>
      <c r="AJ25" s="3554"/>
      <c r="AK25" s="3554"/>
      <c r="AL25" s="3554"/>
      <c r="AM25" s="3554"/>
      <c r="AN25" s="3554"/>
      <c r="AO25" s="3554"/>
      <c r="AP25" s="3554"/>
      <c r="AY25" s="3432">
        <v>14</v>
      </c>
    </row>
    <row customHeight="1" ht="14.25" hidden="1">
      <c r="Q26" s="3719"/>
      <c r="R26" s="3719"/>
      <c r="S26" s="3842"/>
      <c r="T26" s="3450"/>
      <c r="U26" s="3450"/>
      <c r="V26" s="3804"/>
      <c r="W26" s="3804"/>
      <c r="X26" s="3804"/>
      <c r="Y26" s="3804"/>
      <c r="Z26" s="3804"/>
      <c r="AA26" s="3804"/>
      <c r="AB26" s="3804"/>
      <c r="AC26" s="3804"/>
      <c r="AD26" s="3804"/>
      <c r="AE26" s="3804"/>
      <c r="AF26" s="3804"/>
      <c r="AG26" s="3804"/>
      <c r="AH26" s="3804"/>
      <c r="AI26" s="3804"/>
      <c r="AJ26" s="3804"/>
      <c r="AK26" s="3804"/>
      <c r="AL26" s="3804"/>
      <c r="AM26" s="3804"/>
      <c r="AN26" s="3804"/>
      <c r="AO26" s="3804"/>
      <c r="AP26" s="3804"/>
      <c r="AQ26" s="3804"/>
      <c r="AY26" s="3432">
        <v>0</v>
      </c>
    </row>
    <row customHeight="1" ht="25.5" hidden="1">
      <c r="S27" s="3843" t="s">
        <v>41</v>
      </c>
      <c r="T27" s="3843"/>
      <c r="U27" s="3844"/>
      <c r="V27" s="3806" t="str">
        <f>IF(TITLE_NAME_OR_PR_CHANGE="",IF(TITLE_NAME_OR_PR="","",TITLE_NAME_OR_PR),TITLE_NAME_OR_PR_CHANGE)</f>
        <v/>
      </c>
      <c r="W27" s="3806"/>
      <c r="X27" s="3806"/>
      <c r="Y27" s="3806"/>
      <c r="Z27" s="3806"/>
      <c r="AA27" s="3806"/>
      <c r="AB27" s="3806"/>
      <c r="AC27" s="3806"/>
      <c r="AD27" s="3806"/>
      <c r="AE27" s="3806"/>
      <c r="AG27" s="3806" t="str">
        <f>IF(TITLE_NAME_OR_PR_CHANGE="",IF(TITLE_NAME_OR_PR="","",TITLE_NAME_OR_PR),TITLE_NAME_OR_PR_CHANGE)</f>
        <v/>
      </c>
      <c r="AH27" s="3806"/>
      <c r="AI27" s="3806"/>
      <c r="AJ27" s="3806"/>
      <c r="AK27" s="3806"/>
      <c r="AL27" s="3806"/>
      <c r="AM27" s="3806"/>
      <c r="AN27" s="3806"/>
      <c r="AO27" s="3806"/>
      <c r="AP27" s="3806"/>
      <c r="AY27" s="3489">
        <v>0</v>
      </c>
    </row>
    <row customHeight="1" ht="18.75" hidden="1">
      <c r="S28" s="3843" t="s">
        <v>438</v>
      </c>
      <c r="T28" s="3843"/>
      <c r="U28" s="3844"/>
      <c r="V28" s="795" t="str">
        <f>IF(TITLE_DATE_PR_CHANGE="",IF(TITLE_DATE_PR="","",TITLE_DATE_PR),TITLE_DATE_PR_CHANGE)</f>
        <v/>
      </c>
      <c r="W28" s="795"/>
      <c r="X28" s="795"/>
      <c r="Y28" s="795"/>
      <c r="Z28" s="795"/>
      <c r="AA28" s="795"/>
      <c r="AB28" s="795"/>
      <c r="AC28" s="795"/>
      <c r="AD28" s="795"/>
      <c r="AE28" s="795"/>
      <c r="AG28" s="795" t="str">
        <f>IF(TITLE_DATE_PR_CHANGE="",IF(TITLE_DATE_PR="","",TITLE_DATE_PR),TITLE_DATE_PR_CHANGE)</f>
        <v/>
      </c>
      <c r="AH28" s="795"/>
      <c r="AI28" s="795"/>
      <c r="AJ28" s="795"/>
      <c r="AK28" s="795"/>
      <c r="AL28" s="795"/>
      <c r="AM28" s="795"/>
      <c r="AN28" s="795"/>
      <c r="AO28" s="795"/>
      <c r="AP28" s="795"/>
      <c r="AY28" s="3489">
        <v>0</v>
      </c>
    </row>
    <row customHeight="1" ht="18.75" hidden="1">
      <c r="S29" s="3843" t="s">
        <v>439</v>
      </c>
      <c r="T29" s="3843"/>
      <c r="U29" s="3844"/>
      <c r="V29" s="3806" t="str">
        <f>IF(TITLE_NUMBER_PR_CHANGE="",IF(TITLE_NUMBER_PR="","",TITLE_NUMBER_PR),TITLE_NUMBER_PR_CHANGE)</f>
        <v/>
      </c>
      <c r="W29" s="3806"/>
      <c r="X29" s="3806"/>
      <c r="Y29" s="3806"/>
      <c r="Z29" s="3806"/>
      <c r="AA29" s="3806"/>
      <c r="AB29" s="3806"/>
      <c r="AC29" s="3806"/>
      <c r="AD29" s="3806"/>
      <c r="AE29" s="3806"/>
      <c r="AG29" s="3806" t="str">
        <f>IF(TITLE_NUMBER_PR_CHANGE="",IF(TITLE_NUMBER_PR="","",TITLE_NUMBER_PR),TITLE_NUMBER_PR_CHANGE)</f>
        <v/>
      </c>
      <c r="AH29" s="3806"/>
      <c r="AI29" s="3806"/>
      <c r="AJ29" s="3806"/>
      <c r="AK29" s="3806"/>
      <c r="AL29" s="3806"/>
      <c r="AM29" s="3806"/>
      <c r="AN29" s="3806"/>
      <c r="AO29" s="3806"/>
      <c r="AP29" s="3806"/>
      <c r="AY29" s="3489">
        <v>0</v>
      </c>
    </row>
    <row customHeight="1" ht="18.75" hidden="1">
      <c r="S30" s="3843" t="s">
        <v>42</v>
      </c>
      <c r="T30" s="3843"/>
      <c r="U30" s="3844"/>
      <c r="V30" s="3806" t="str">
        <f>IF(TITLE_IST_PUB_CHANGE="",IF(TITLE_IST_PUB="","",TITLE_IST_PUB),TITLE_IST_PUB_CHANGE)</f>
        <v/>
      </c>
      <c r="W30" s="3806"/>
      <c r="X30" s="3806"/>
      <c r="Y30" s="3806"/>
      <c r="Z30" s="3806"/>
      <c r="AA30" s="3806"/>
      <c r="AB30" s="3806"/>
      <c r="AC30" s="3806"/>
      <c r="AD30" s="3806"/>
      <c r="AE30" s="3806"/>
      <c r="AG30" s="3806" t="str">
        <f>IF(TITLE_IST_PUB_CHANGE="",IF(TITLE_IST_PUB="","",TITLE_IST_PUB),TITLE_IST_PUB_CHANGE)</f>
        <v/>
      </c>
      <c r="AH30" s="3806"/>
      <c r="AI30" s="3806"/>
      <c r="AJ30" s="3806"/>
      <c r="AK30" s="3806"/>
      <c r="AL30" s="3806"/>
      <c r="AM30" s="3806"/>
      <c r="AN30" s="3806"/>
      <c r="AO30" s="3806"/>
      <c r="AP30" s="3806"/>
      <c r="AY30" s="3489">
        <v>0</v>
      </c>
    </row>
    <row customHeight="1" ht="14.25" hidden="1">
      <c r="Q31" s="3719"/>
      <c r="R31" s="3719"/>
      <c r="S31" s="3842"/>
      <c r="T31" s="3450"/>
      <c r="U31" s="3450"/>
      <c r="V31" s="3804"/>
      <c r="W31" s="3804"/>
      <c r="X31" s="3804"/>
      <c r="Y31" s="3804"/>
      <c r="Z31" s="3804"/>
      <c r="AA31" s="3804"/>
      <c r="AB31" s="3804"/>
      <c r="AC31" s="3804"/>
      <c r="AD31" s="3804"/>
      <c r="AE31" s="3804"/>
      <c r="AF31" s="3804"/>
      <c r="AG31" s="3804"/>
      <c r="AH31" s="3804"/>
      <c r="AI31" s="3804"/>
      <c r="AJ31" s="3804"/>
      <c r="AK31" s="3804"/>
      <c r="AL31" s="3804"/>
      <c r="AM31" s="3804"/>
      <c r="AN31" s="3804"/>
      <c r="AO31" s="3804"/>
      <c r="AP31" s="3804"/>
      <c r="AQ31" s="3804"/>
      <c r="AY31" s="3432">
        <v>0</v>
      </c>
    </row>
    <row customHeight="1" ht="18.75" hidden="1">
      <c r="S32" s="3843" t="s">
        <v>440</v>
      </c>
      <c r="T32" s="3843"/>
      <c r="U32" s="3844"/>
      <c r="V32" s="795" t="str">
        <f>IF(TITLE_DATE_PR_CHANGE="",IF(TITLE_DATE_PR="","",TITLE_DATE_PR),TITLE_DATE_PR_CHANGE)</f>
        <v/>
      </c>
      <c r="W32" s="795"/>
      <c r="X32" s="795"/>
      <c r="Y32" s="795"/>
      <c r="Z32" s="795"/>
      <c r="AA32" s="795"/>
      <c r="AB32" s="795"/>
      <c r="AC32" s="795"/>
      <c r="AD32" s="795"/>
      <c r="AE32" s="795"/>
      <c r="AG32" s="795" t="str">
        <f>IF(TITLE_DATE_PR_CHANGE="",IF(TITLE_DATE_PR="","",TITLE_DATE_PR),TITLE_DATE_PR_CHANGE)</f>
        <v/>
      </c>
      <c r="AH32" s="795"/>
      <c r="AI32" s="795"/>
      <c r="AJ32" s="795"/>
      <c r="AK32" s="795"/>
      <c r="AL32" s="795"/>
      <c r="AM32" s="795"/>
      <c r="AN32" s="795"/>
      <c r="AO32" s="795"/>
      <c r="AP32" s="795"/>
      <c r="AY32" s="3489">
        <v>0</v>
      </c>
    </row>
    <row customHeight="1" ht="18.75" hidden="1">
      <c r="S33" s="3843" t="s">
        <v>441</v>
      </c>
      <c r="T33" s="3843"/>
      <c r="U33" s="3844"/>
      <c r="V33" s="3806" t="str">
        <f>IF(TITLE_NUMBER_PR_CHANGE="",IF(TITLE_NUMBER_PR="","",TITLE_NUMBER_PR),TITLE_NUMBER_PR_CHANGE)</f>
        <v/>
      </c>
      <c r="W33" s="3806"/>
      <c r="X33" s="3806"/>
      <c r="Y33" s="3806"/>
      <c r="Z33" s="3806"/>
      <c r="AA33" s="3806"/>
      <c r="AB33" s="3806"/>
      <c r="AC33" s="3806"/>
      <c r="AD33" s="3806"/>
      <c r="AE33" s="3806"/>
      <c r="AG33" s="3806" t="str">
        <f>IF(TITLE_NUMBER_PR_CHANGE="",IF(TITLE_NUMBER_PR="","",TITLE_NUMBER_PR),TITLE_NUMBER_PR_CHANGE)</f>
        <v/>
      </c>
      <c r="AH33" s="3806"/>
      <c r="AI33" s="3806"/>
      <c r="AJ33" s="3806"/>
      <c r="AK33" s="3806"/>
      <c r="AL33" s="3806"/>
      <c r="AM33" s="3806"/>
      <c r="AN33" s="3806"/>
      <c r="AO33" s="3806"/>
      <c r="AP33" s="3806"/>
      <c r="AY33" s="3489">
        <v>0</v>
      </c>
    </row>
    <row customHeight="1" ht="1.05">
      <c r="AF34" s="3473" t="s">
        <v>442</v>
      </c>
      <c r="AQ34" s="3473" t="s">
        <v>442</v>
      </c>
      <c r="AY34" s="3489">
        <v>1</v>
      </c>
    </row>
    <row customHeight="1" ht="14.699999999999998">
      <c r="Q35" s="3719"/>
      <c r="R35" s="3719"/>
      <c r="S35" s="3842"/>
      <c r="T35" s="3450"/>
      <c r="U35" s="3845"/>
      <c r="V35" s="3846"/>
      <c r="W35" s="3846"/>
      <c r="X35" s="3846"/>
      <c r="Y35" s="3846"/>
      <c r="Z35" s="3846"/>
      <c r="AA35" s="3846"/>
      <c r="AB35" s="3846"/>
      <c r="AC35" s="3846"/>
      <c r="AD35" s="3846"/>
      <c r="AE35" s="3846"/>
      <c r="AF35" s="3846"/>
      <c r="AG35" s="3846"/>
      <c r="AH35" s="3846"/>
      <c r="AI35" s="3846"/>
      <c r="AJ35" s="3846"/>
      <c r="AK35" s="3846"/>
      <c r="AL35" s="3846"/>
      <c r="AM35" s="3846"/>
      <c r="AN35" s="3846"/>
      <c r="AO35" s="3846"/>
      <c r="AP35" s="3846"/>
      <c r="AQ35" s="3846"/>
      <c r="AY35" s="3432">
        <v>14</v>
      </c>
    </row>
    <row customHeight="1" ht="14.699999999999998">
      <c r="Q36" s="3719"/>
      <c r="R36" s="3719"/>
      <c r="S36" s="3480" t="s">
        <v>315</v>
      </c>
      <c r="T36" s="3480"/>
      <c r="U36" s="3480"/>
      <c r="V36" s="3480"/>
      <c r="W36" s="3480"/>
      <c r="X36" s="3480"/>
      <c r="Y36" s="3480"/>
      <c r="Z36" s="3480"/>
      <c r="AA36" s="3480"/>
      <c r="AB36" s="3480"/>
      <c r="AC36" s="3480"/>
      <c r="AD36" s="3480"/>
      <c r="AE36" s="3480"/>
      <c r="AF36" s="3480"/>
      <c r="AG36" s="3480"/>
      <c r="AH36" s="3480"/>
      <c r="AI36" s="3480"/>
      <c r="AJ36" s="3480"/>
      <c r="AK36" s="3480"/>
      <c r="AL36" s="3480"/>
      <c r="AM36" s="3480"/>
      <c r="AN36" s="3480"/>
      <c r="AO36" s="3480"/>
      <c r="AP36" s="3480"/>
      <c r="AQ36" s="3480"/>
      <c r="AR36" s="3480"/>
      <c r="AS36" s="3480" t="s">
        <v>316</v>
      </c>
      <c r="AY36" s="3432">
        <v>14</v>
      </c>
    </row>
    <row customHeight="1" ht="14.699999999999998">
      <c r="Q37" s="3719"/>
      <c r="R37" s="3719"/>
      <c r="S37" s="3818" t="s">
        <v>86</v>
      </c>
      <c r="T37" s="3579" t="s">
        <v>443</v>
      </c>
      <c r="U37" s="3793"/>
      <c r="V37" s="3847" t="s">
        <v>444</v>
      </c>
      <c r="W37" s="3848"/>
      <c r="X37" s="3848"/>
      <c r="Y37" s="3848"/>
      <c r="Z37" s="3848"/>
      <c r="AA37" s="3848"/>
      <c r="AB37" s="3848"/>
      <c r="AC37" s="3848"/>
      <c r="AD37" s="3848"/>
      <c r="AE37" s="3849"/>
      <c r="AF37" s="3807" t="s">
        <v>445</v>
      </c>
      <c r="AG37" s="3847" t="s">
        <v>444</v>
      </c>
      <c r="AH37" s="3848"/>
      <c r="AI37" s="3848"/>
      <c r="AJ37" s="3848"/>
      <c r="AK37" s="3848"/>
      <c r="AL37" s="3848"/>
      <c r="AM37" s="3848"/>
      <c r="AN37" s="3848"/>
      <c r="AO37" s="3848"/>
      <c r="AP37" s="3849"/>
      <c r="AQ37" s="3807" t="s">
        <v>446</v>
      </c>
      <c r="AR37" s="868" t="s">
        <v>447</v>
      </c>
      <c r="AS37" s="3480"/>
      <c r="AY37" s="3432">
        <v>14</v>
      </c>
    </row>
    <row customHeight="1" ht="19.95">
      <c r="Q38" s="3719"/>
      <c r="R38" s="3719"/>
      <c r="S38" s="3818"/>
      <c r="T38" s="3579"/>
      <c r="U38" s="3798"/>
      <c r="V38" s="3480" t="s">
        <v>547</v>
      </c>
      <c r="W38" s="314" t="s">
        <v>548</v>
      </c>
      <c r="X38" s="314"/>
      <c r="Y38" s="314"/>
      <c r="Z38" s="314" t="s">
        <v>549</v>
      </c>
      <c r="AA38" s="314"/>
      <c r="AB38" s="314"/>
      <c r="AC38" s="3555" t="s">
        <v>451</v>
      </c>
      <c r="AD38" s="3886"/>
      <c r="AE38" s="3556"/>
      <c r="AF38" s="3851"/>
      <c r="AG38" s="3480" t="s">
        <v>547</v>
      </c>
      <c r="AH38" s="314" t="s">
        <v>548</v>
      </c>
      <c r="AI38" s="314"/>
      <c r="AJ38" s="314"/>
      <c r="AK38" s="314" t="s">
        <v>549</v>
      </c>
      <c r="AL38" s="314"/>
      <c r="AM38" s="314"/>
      <c r="AN38" s="3555" t="s">
        <v>451</v>
      </c>
      <c r="AO38" s="3886"/>
      <c r="AP38" s="3556"/>
      <c r="AQ38" s="3851"/>
      <c r="AR38" s="871"/>
      <c r="AS38" s="3480"/>
      <c r="AY38" s="3432">
        <v>19</v>
      </c>
    </row>
    <row customHeight="1" ht="19.95">
      <c r="Q39" s="3719"/>
      <c r="R39" s="3719"/>
      <c r="S39" s="3818"/>
      <c r="T39" s="3579"/>
      <c r="U39" s="3798"/>
      <c r="V39" s="3480"/>
      <c r="W39" s="314" t="s">
        <v>550</v>
      </c>
      <c r="X39" s="314" t="s">
        <v>551</v>
      </c>
      <c r="Y39" s="314"/>
      <c r="Z39" s="314" t="s">
        <v>552</v>
      </c>
      <c r="AA39" s="314" t="s">
        <v>551</v>
      </c>
      <c r="AB39" s="314"/>
      <c r="AC39" s="3561"/>
      <c r="AD39" s="3887"/>
      <c r="AE39" s="3562"/>
      <c r="AF39" s="3851"/>
      <c r="AG39" s="3480"/>
      <c r="AH39" s="314" t="s">
        <v>550</v>
      </c>
      <c r="AI39" s="314" t="s">
        <v>551</v>
      </c>
      <c r="AJ39" s="314"/>
      <c r="AK39" s="314" t="s">
        <v>552</v>
      </c>
      <c r="AL39" s="314" t="s">
        <v>551</v>
      </c>
      <c r="AM39" s="314"/>
      <c r="AN39" s="3561"/>
      <c r="AO39" s="3887"/>
      <c r="AP39" s="3562"/>
      <c r="AQ39" s="3851"/>
      <c r="AR39" s="871"/>
      <c r="AS39" s="3480"/>
      <c r="AY39" s="3432">
        <v>19</v>
      </c>
    </row>
    <row customHeight="1" ht="61.949999999999996">
      <c r="B40" s="3511" t="s">
        <v>153</v>
      </c>
      <c r="C40" s="3511" t="s">
        <v>154</v>
      </c>
      <c r="D40" s="3511" t="s">
        <v>155</v>
      </c>
      <c r="E40" s="3830" t="s">
        <v>452</v>
      </c>
      <c r="F40" s="3830" t="s">
        <v>453</v>
      </c>
      <c r="G40" s="3830" t="s">
        <v>454</v>
      </c>
      <c r="I40" s="3830" t="s">
        <v>505</v>
      </c>
      <c r="J40" s="3830" t="s">
        <v>457</v>
      </c>
      <c r="K40" s="3830" t="s">
        <v>506</v>
      </c>
      <c r="L40" s="3830" t="s">
        <v>433</v>
      </c>
      <c r="Q40" s="3719"/>
      <c r="R40" s="3719"/>
      <c r="S40" s="3818"/>
      <c r="T40" s="3579"/>
      <c r="U40" s="3852"/>
      <c r="V40" s="3480"/>
      <c r="W40" s="314"/>
      <c r="X40" s="314" t="s">
        <v>553</v>
      </c>
      <c r="Y40" s="314" t="s">
        <v>554</v>
      </c>
      <c r="Z40" s="314"/>
      <c r="AA40" s="314" t="s">
        <v>555</v>
      </c>
      <c r="AB40" s="314" t="s">
        <v>556</v>
      </c>
      <c r="AC40" s="3525" t="s">
        <v>461</v>
      </c>
      <c r="AD40" s="3626" t="s">
        <v>462</v>
      </c>
      <c r="AE40" s="3628"/>
      <c r="AF40" s="3810"/>
      <c r="AG40" s="3480"/>
      <c r="AH40" s="314"/>
      <c r="AI40" s="314" t="s">
        <v>553</v>
      </c>
      <c r="AJ40" s="314" t="s">
        <v>554</v>
      </c>
      <c r="AK40" s="314"/>
      <c r="AL40" s="314" t="s">
        <v>555</v>
      </c>
      <c r="AM40" s="314" t="s">
        <v>556</v>
      </c>
      <c r="AN40" s="3525" t="s">
        <v>461</v>
      </c>
      <c r="AO40" s="3626" t="s">
        <v>462</v>
      </c>
      <c r="AP40" s="3628"/>
      <c r="AQ40" s="3810"/>
      <c r="AR40" s="873"/>
      <c r="AS40" s="3480"/>
      <c r="AY40" s="3432">
        <v>59</v>
      </c>
    </row>
    <row customHeight="1" ht="11.25" hidden="1">
      <c r="Q41" s="3853"/>
      <c r="R41" s="3854">
        <v>1</v>
      </c>
      <c r="S41" s="876" t="s">
        <v>107</v>
      </c>
      <c r="T41" s="877" t="s">
        <v>108</v>
      </c>
      <c r="U41" s="3855" t="str">
        <f>OFFSET(U41,0,-1)</f>
        <v>2</v>
      </c>
      <c r="V41" s="3856">
        <f>OFFSET(V41,0,-1)+1</f>
        <v>3</v>
      </c>
      <c r="W41" s="3856"/>
      <c r="X41" s="3856"/>
      <c r="Y41" s="3856"/>
      <c r="Z41" s="3856"/>
      <c r="AA41" s="3856"/>
      <c r="AB41" s="3856">
        <f>OFFSET(AB41,0,-1)+1</f>
        <v>1</v>
      </c>
      <c r="AC41" s="3856">
        <f>OFFSET(AC41,0,-1)+1</f>
        <v>2</v>
      </c>
      <c r="AD41" s="3856">
        <f>OFFSET(AD41,0,-1)+1</f>
        <v>3</v>
      </c>
      <c r="AE41" s="3856"/>
      <c r="AF41" s="3856">
        <f>OFFSET(AF41,0,-2)+1</f>
        <v>4</v>
      </c>
      <c r="AG41" s="3856">
        <f>OFFSET(AG41,0,-1)+1</f>
        <v>5</v>
      </c>
      <c r="AH41" s="3856"/>
      <c r="AI41" s="3856"/>
      <c r="AJ41" s="3856"/>
      <c r="AK41" s="3856"/>
      <c r="AL41" s="3856"/>
      <c r="AM41" s="3856">
        <f>OFFSET(AM41,0,-1)+1</f>
        <v>1</v>
      </c>
      <c r="AN41" s="3856">
        <f>OFFSET(AN41,0,-1)+1</f>
        <v>2</v>
      </c>
      <c r="AO41" s="3856">
        <f>OFFSET(AO41,0,-1)+1</f>
        <v>3</v>
      </c>
      <c r="AP41" s="3856"/>
      <c r="AQ41" s="3856">
        <f>OFFSET(AQ41,0,-2)+1</f>
        <v>4</v>
      </c>
      <c r="AR41" s="3855">
        <f>OFFSET(AR41,0,-1)</f>
        <v>4</v>
      </c>
      <c r="AS41" s="3856">
        <f>OFFSET(AS41,0,-1)+1</f>
        <v>5</v>
      </c>
      <c r="AY41" s="3637">
        <v>0</v>
      </c>
    </row>
    <row customHeight="1" ht="24">
      <c r="A42" s="3857" t="s">
        <v>271</v>
      </c>
      <c r="E42" s="3817">
        <v>1</v>
      </c>
      <c r="R42" s="816"/>
      <c r="S42" s="3818">
        <f>INDEX(PT_DIFFERENTIATION_NUM_NTAR,MATCH(A42,PT_DIFFERENTIATION_NTAR_ID,0))</f>
        <v>0</v>
      </c>
      <c r="T42" s="3764" t="s">
        <v>141</v>
      </c>
      <c r="U42" s="3819"/>
      <c r="V42" s="3820"/>
      <c r="W42" s="3821"/>
      <c r="X42" s="3821"/>
      <c r="Y42" s="3821"/>
      <c r="Z42" s="3821"/>
      <c r="AA42" s="3821"/>
      <c r="AB42" s="3821"/>
      <c r="AC42" s="3821"/>
      <c r="AD42" s="3821"/>
      <c r="AE42" s="3821"/>
      <c r="AF42" s="3822"/>
      <c r="AG42" s="3820" t="str">
        <f>INDEX(PT_DIFFERENTIATION_NTAR,MATCH(A42,PT_DIFFERENTIATION_NTAR_ID,0))</f>
        <v/>
      </c>
      <c r="AH42" s="3821"/>
      <c r="AI42" s="3821"/>
      <c r="AJ42" s="3821"/>
      <c r="AK42" s="3821"/>
      <c r="AL42" s="3821"/>
      <c r="AM42" s="3821"/>
      <c r="AN42" s="3821"/>
      <c r="AO42" s="3821"/>
      <c r="AP42" s="3821"/>
      <c r="AQ42" s="3821"/>
      <c r="AR42" s="3822"/>
      <c r="AS4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3479" t="str">
        <f>IF(T42="","",T42)</f>
        <v>Наименование тарифа</v>
      </c>
      <c r="AY42" s="3432">
        <v>23</v>
      </c>
    </row>
    <row customHeight="1" ht="24">
      <c r="A43" s="3857" t="s">
        <v>271</v>
      </c>
      <c r="B43" s="3857" t="s">
        <v>272</v>
      </c>
      <c r="E43" s="3824"/>
      <c r="F43" s="3817">
        <v>1</v>
      </c>
      <c r="Q43" s="3825"/>
      <c r="R43" s="3826"/>
      <c r="S43" s="3818" t="str">
        <f>INDEX(PT_DIFFERENTIATION_NUM_TER,MATCH(B43,PT_DIFFERENTIATION_TER_ID,0))</f>
        <v>.</v>
      </c>
      <c r="T43" s="3827" t="s">
        <v>412</v>
      </c>
      <c r="U43" s="3819"/>
      <c r="V43" s="3820"/>
      <c r="W43" s="3821"/>
      <c r="X43" s="3821"/>
      <c r="Y43" s="3821"/>
      <c r="Z43" s="3821"/>
      <c r="AA43" s="3821"/>
      <c r="AB43" s="3821"/>
      <c r="AC43" s="3821"/>
      <c r="AD43" s="3821"/>
      <c r="AE43" s="3821"/>
      <c r="AF43" s="3822"/>
      <c r="AG43" s="3820" t="str">
        <f>INDEX(PT_DIFFERENTIATION_TER,MATCH(B43,PT_DIFFERENTIATION_TER_ID,0))</f>
        <v/>
      </c>
      <c r="AH43" s="3821"/>
      <c r="AI43" s="3821"/>
      <c r="AJ43" s="3821"/>
      <c r="AK43" s="3821"/>
      <c r="AL43" s="3821"/>
      <c r="AM43" s="3821"/>
      <c r="AN43" s="3821"/>
      <c r="AO43" s="3821"/>
      <c r="AP43" s="3821"/>
      <c r="AQ43" s="3821"/>
      <c r="AR43" s="3822"/>
      <c r="AS43" s="3823" t="s">
        <v>413</v>
      </c>
      <c r="AV43" s="3479" t="str">
        <f>IF(T43="","",T43)</f>
        <v>Территория действия тарифа</v>
      </c>
      <c r="AY43" s="3432">
        <v>23</v>
      </c>
    </row>
    <row customHeight="1" ht="24">
      <c r="A44" s="3857" t="s">
        <v>271</v>
      </c>
      <c r="B44" s="3857" t="s">
        <v>272</v>
      </c>
      <c r="C44" s="3857" t="s">
        <v>273</v>
      </c>
      <c r="E44" s="3824"/>
      <c r="F44" s="3824"/>
      <c r="G44" s="3817">
        <v>1</v>
      </c>
      <c r="Q44" s="3825"/>
      <c r="R44" s="3826"/>
      <c r="S44" s="3818" t="str">
        <f>INDEX(PT_DIFFERENTIATION_NUM_CS,MATCH(C44,PT_DIFFERENTIATION_CS_ID,0))</f>
        <v>..</v>
      </c>
      <c r="T44" s="3828" t="s">
        <v>545</v>
      </c>
      <c r="U44" s="3819"/>
      <c r="V44" s="3820"/>
      <c r="W44" s="3821"/>
      <c r="X44" s="3821"/>
      <c r="Y44" s="3821"/>
      <c r="Z44" s="3821"/>
      <c r="AA44" s="3821"/>
      <c r="AB44" s="3821"/>
      <c r="AC44" s="3821"/>
      <c r="AD44" s="3821"/>
      <c r="AE44" s="3821"/>
      <c r="AF44" s="3822"/>
      <c r="AG44" s="3820" t="str">
        <f>INDEX(PT_DIFFERENTIATION_CS,MATCH(C44,PT_DIFFERENTIATION_CS_ID,0))</f>
        <v/>
      </c>
      <c r="AH44" s="3821"/>
      <c r="AI44" s="3821"/>
      <c r="AJ44" s="3821"/>
      <c r="AK44" s="3821"/>
      <c r="AL44" s="3821"/>
      <c r="AM44" s="3821"/>
      <c r="AN44" s="3821"/>
      <c r="AO44" s="3821"/>
      <c r="AP44" s="3821"/>
      <c r="AQ44" s="3821"/>
      <c r="AR44" s="3822"/>
      <c r="AS44" s="3823" t="s">
        <v>546</v>
      </c>
      <c r="AV44" s="3479" t="str">
        <f>IF(T44="","",T44)</f>
        <v>Наименование централизованной системы горячего водоснабжения</v>
      </c>
      <c r="AY44" s="3432">
        <v>23</v>
      </c>
    </row>
    <row customHeight="1" ht="24">
      <c r="A45" s="3857" t="s">
        <v>271</v>
      </c>
      <c r="B45" s="3857" t="s">
        <v>272</v>
      </c>
      <c r="C45" s="3857" t="s">
        <v>273</v>
      </c>
      <c r="D45" s="3857" t="s">
        <v>558</v>
      </c>
      <c r="E45" s="3824"/>
      <c r="F45" s="3824"/>
      <c r="G45" s="3824"/>
      <c r="H45" s="3824"/>
      <c r="I45" s="3711" t="str">
        <f>S44&amp;".1"</f>
        <v>...1</v>
      </c>
      <c r="P45" s="3471">
        <v>1</v>
      </c>
      <c r="R45" s="3831"/>
      <c r="S45" s="3818" t="str">
        <f>$I45</f>
        <v>...1</v>
      </c>
      <c r="T45" s="3832" t="s">
        <v>498</v>
      </c>
      <c r="U45" s="3819"/>
      <c r="V45" s="3938"/>
      <c r="W45" s="3939"/>
      <c r="X45" s="3939"/>
      <c r="Y45" s="3939"/>
      <c r="Z45" s="3939"/>
      <c r="AA45" s="3939"/>
      <c r="AB45" s="3939"/>
      <c r="AC45" s="3939"/>
      <c r="AD45" s="3939"/>
      <c r="AE45" s="3939"/>
      <c r="AF45" s="3940"/>
      <c r="AG45" s="1018"/>
      <c r="AH45" s="1031"/>
      <c r="AI45" s="1031"/>
      <c r="AJ45" s="1031"/>
      <c r="AK45" s="1031"/>
      <c r="AL45" s="1031"/>
      <c r="AM45" s="1031"/>
      <c r="AN45" s="1031"/>
      <c r="AO45" s="1031"/>
      <c r="AP45" s="1031"/>
      <c r="AQ45" s="1031"/>
      <c r="AR45" s="1032"/>
      <c r="AS45" s="3823" t="s">
        <v>499</v>
      </c>
      <c r="AV45" s="3479" t="str">
        <f>IF(T45="","",T45)</f>
        <v>Наименование признака дифференциации</v>
      </c>
      <c r="AY45" s="3432">
        <v>23</v>
      </c>
    </row>
    <row customHeight="1" ht="24">
      <c r="A46" s="3857" t="s">
        <v>271</v>
      </c>
      <c r="B46" s="3857" t="s">
        <v>272</v>
      </c>
      <c r="C46" s="3857" t="s">
        <v>273</v>
      </c>
      <c r="D46" s="3857" t="s">
        <v>558</v>
      </c>
      <c r="E46" s="3824"/>
      <c r="F46" s="3824"/>
      <c r="G46" s="3824"/>
      <c r="H46" s="3824"/>
      <c r="I46" s="3835"/>
      <c r="J46" s="3711" t="str">
        <f>I45&amp;".1"</f>
        <v>...1.1</v>
      </c>
      <c r="L46" s="3830" t="s">
        <v>421</v>
      </c>
      <c r="Q46" s="3471">
        <v>1</v>
      </c>
      <c r="R46" s="3836"/>
      <c r="S46" s="3818" t="str">
        <f>$J46</f>
        <v>...1.1</v>
      </c>
      <c r="T46" s="3837" t="s">
        <v>422</v>
      </c>
      <c r="U46" s="3819"/>
      <c r="V46" s="3638"/>
      <c r="W46" s="3833"/>
      <c r="X46" s="3833"/>
      <c r="Y46" s="3833"/>
      <c r="Z46" s="3833"/>
      <c r="AA46" s="3833"/>
      <c r="AB46" s="3833"/>
      <c r="AC46" s="3833"/>
      <c r="AD46" s="3833"/>
      <c r="AE46" s="3833"/>
      <c r="AF46" s="3834"/>
      <c r="AG46" s="3638"/>
      <c r="AH46" s="3833"/>
      <c r="AI46" s="3833"/>
      <c r="AJ46" s="3833"/>
      <c r="AK46" s="3833"/>
      <c r="AL46" s="3833"/>
      <c r="AM46" s="3833"/>
      <c r="AN46" s="3833"/>
      <c r="AO46" s="3833"/>
      <c r="AP46" s="3833"/>
      <c r="AQ46" s="3833"/>
      <c r="AR46" s="3834"/>
      <c r="AS46" s="3883" t="s">
        <v>500</v>
      </c>
      <c r="AV46" s="3479" t="str">
        <f>IF(T46="","",T46)</f>
        <v>Группа потребителей</v>
      </c>
      <c r="AY46" s="3432">
        <v>23</v>
      </c>
    </row>
    <row customHeight="1" ht="24">
      <c r="A47" s="3857" t="s">
        <v>271</v>
      </c>
      <c r="B47" s="3857" t="s">
        <v>272</v>
      </c>
      <c r="C47" s="3857" t="s">
        <v>273</v>
      </c>
      <c r="D47" s="3857" t="s">
        <v>558</v>
      </c>
      <c r="E47" s="3824"/>
      <c r="F47" s="3824"/>
      <c r="G47" s="3824"/>
      <c r="H47" s="3824"/>
      <c r="I47" s="3835"/>
      <c r="J47" s="3835"/>
      <c r="K47" s="3711" t="str">
        <f>J46&amp;".1"</f>
        <v>...1.1.1</v>
      </c>
      <c r="R47" s="3836">
        <v>1</v>
      </c>
      <c r="S47" s="3818" t="str">
        <f>$K47</f>
        <v>...1.1.1</v>
      </c>
      <c r="T47" s="1033"/>
      <c r="U47" s="3819"/>
      <c r="V47" s="719"/>
      <c r="W47" s="719"/>
      <c r="X47" s="719"/>
      <c r="Y47" s="719"/>
      <c r="Z47" s="719"/>
      <c r="AA47" s="719"/>
      <c r="AB47" s="857"/>
      <c r="AC47" s="858"/>
      <c r="AD47" s="616" t="s">
        <v>61</v>
      </c>
      <c r="AE47" s="858"/>
      <c r="AF47" s="616" t="s">
        <v>61</v>
      </c>
      <c r="AG47" s="838"/>
      <c r="AH47" s="838"/>
      <c r="AI47" s="838"/>
      <c r="AJ47" s="838"/>
      <c r="AK47" s="838"/>
      <c r="AL47" s="838"/>
      <c r="AM47" s="840"/>
      <c r="AN47" s="572"/>
      <c r="AO47" s="210" t="s">
        <v>61</v>
      </c>
      <c r="AP47" s="881"/>
      <c r="AQ47" s="210" t="s">
        <v>19</v>
      </c>
      <c r="AR47" s="1034"/>
      <c r="AS47" s="39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473">
        <f>STRCHECKDATE(V48:AR48)</f>
      </c>
      <c r="AV47" s="3479" t="str">
        <f>IF(T47="","",T47)</f>
        <v/>
      </c>
      <c r="AY47" s="3432">
        <v>23</v>
      </c>
    </row>
    <row customHeight="1" ht="0">
      <c r="A48" s="3857" t="s">
        <v>271</v>
      </c>
      <c r="B48" s="3857" t="s">
        <v>272</v>
      </c>
      <c r="C48" s="3857" t="s">
        <v>273</v>
      </c>
      <c r="D48" s="3857" t="s">
        <v>558</v>
      </c>
      <c r="E48" s="3824"/>
      <c r="F48" s="3824"/>
      <c r="G48" s="3824"/>
      <c r="H48" s="3824"/>
      <c r="I48" s="3835"/>
      <c r="J48" s="3835"/>
      <c r="K48" s="3711"/>
      <c r="R48" s="3836"/>
      <c r="S48" s="421"/>
      <c r="T48" s="3819"/>
      <c r="U48" s="3819"/>
      <c r="V48" s="719"/>
      <c r="W48" s="719"/>
      <c r="X48" s="719"/>
      <c r="Y48" s="719"/>
      <c r="Z48" s="719"/>
      <c r="AA48" s="719"/>
      <c r="AB48" s="842" t="str">
        <f>AC47&amp;"-"&amp;AE47</f>
        <v>-</v>
      </c>
      <c r="AC48" s="616"/>
      <c r="AD48" s="616"/>
      <c r="AE48" s="616"/>
      <c r="AF48" s="616"/>
      <c r="AG48" s="839"/>
      <c r="AH48" s="839"/>
      <c r="AI48" s="839"/>
      <c r="AJ48" s="839"/>
      <c r="AK48" s="839"/>
      <c r="AL48" s="839"/>
      <c r="AM48" s="842" t="str">
        <f>AN47&amp;"-"&amp;AP47</f>
        <v>-</v>
      </c>
      <c r="AN48" s="573"/>
      <c r="AO48" s="210"/>
      <c r="AP48" s="883"/>
      <c r="AQ48" s="210"/>
      <c r="AR48" s="1015"/>
      <c r="AS48" s="3941"/>
      <c r="AV48" s="3479" t="str">
        <f>IF(T48="","",T48)</f>
        <v/>
      </c>
      <c r="AY48" s="3432">
        <v>0</v>
      </c>
    </row>
    <row customHeight="1" ht="21">
      <c r="A49" s="3857" t="s">
        <v>271</v>
      </c>
      <c r="B49" s="3857" t="s">
        <v>272</v>
      </c>
      <c r="C49" s="3857" t="s">
        <v>273</v>
      </c>
      <c r="D49" s="3857" t="s">
        <v>558</v>
      </c>
      <c r="E49" s="3824"/>
      <c r="F49" s="3824"/>
      <c r="G49" s="3824"/>
      <c r="H49" s="3824"/>
      <c r="I49" s="3835"/>
      <c r="J49" s="3711"/>
      <c r="R49" s="3831"/>
      <c r="S49" s="844"/>
      <c r="T49" s="848" t="s">
        <v>501</v>
      </c>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3823" t="s">
        <v>502</v>
      </c>
      <c r="AV49" s="3479" t="str">
        <f>IF(T49="","",T49)</f>
        <v>Добавить значение признака дифференциации</v>
      </c>
      <c r="AY49" s="3432">
        <v>20</v>
      </c>
    </row>
    <row customHeight="1" ht="22.049999999999997">
      <c r="A50" s="3857" t="s">
        <v>271</v>
      </c>
      <c r="B50" s="3857" t="s">
        <v>272</v>
      </c>
      <c r="C50" s="3857" t="s">
        <v>273</v>
      </c>
      <c r="D50" s="3857" t="s">
        <v>558</v>
      </c>
      <c r="E50" s="3824"/>
      <c r="F50" s="3824"/>
      <c r="G50" s="3824"/>
      <c r="H50" s="3824"/>
      <c r="I50" s="3711"/>
      <c r="R50" s="3831"/>
      <c r="S50" s="844"/>
      <c r="T50" s="851" t="s">
        <v>427</v>
      </c>
      <c r="U50" s="200"/>
      <c r="V50" s="200"/>
      <c r="W50" s="200"/>
      <c r="X50" s="200"/>
      <c r="Y50" s="200"/>
      <c r="Z50" s="200"/>
      <c r="AA50" s="200"/>
      <c r="AB50" s="200"/>
      <c r="AC50" s="200"/>
      <c r="AD50" s="200"/>
      <c r="AE50" s="200"/>
      <c r="AF50" s="849"/>
      <c r="AG50" s="200"/>
      <c r="AH50" s="200"/>
      <c r="AI50" s="200"/>
      <c r="AJ50" s="200"/>
      <c r="AK50" s="200"/>
      <c r="AL50" s="200"/>
      <c r="AM50" s="200"/>
      <c r="AN50" s="200"/>
      <c r="AO50" s="200"/>
      <c r="AP50" s="200"/>
      <c r="AQ50" s="849"/>
      <c r="AR50" s="200"/>
      <c r="AS50" s="1036"/>
      <c r="AV50" s="3479" t="str">
        <f>IF(T50="","",T50)</f>
        <v>Добавить группу потребителей</v>
      </c>
      <c r="AY50" s="3432">
        <v>21</v>
      </c>
    </row>
    <row customHeight="1" ht="22.049999999999997">
      <c r="A51" s="3857" t="s">
        <v>271</v>
      </c>
      <c r="B51" s="3857" t="s">
        <v>272</v>
      </c>
      <c r="C51" s="3857" t="s">
        <v>273</v>
      </c>
      <c r="D51" s="3857" t="s">
        <v>558</v>
      </c>
      <c r="E51" s="3824"/>
      <c r="F51" s="3824"/>
      <c r="G51" s="3824"/>
      <c r="H51" s="3817"/>
      <c r="R51" s="816"/>
      <c r="S51" s="844"/>
      <c r="T51" s="994" t="s">
        <v>503</v>
      </c>
      <c r="U51" s="200"/>
      <c r="V51" s="200"/>
      <c r="W51" s="200"/>
      <c r="X51" s="200"/>
      <c r="Y51" s="200"/>
      <c r="Z51" s="200"/>
      <c r="AA51" s="200"/>
      <c r="AB51" s="200"/>
      <c r="AC51" s="200"/>
      <c r="AD51" s="200"/>
      <c r="AE51" s="200"/>
      <c r="AF51" s="849"/>
      <c r="AG51" s="200"/>
      <c r="AH51" s="200"/>
      <c r="AI51" s="200"/>
      <c r="AJ51" s="200"/>
      <c r="AK51" s="200"/>
      <c r="AL51" s="200"/>
      <c r="AM51" s="200"/>
      <c r="AN51" s="200"/>
      <c r="AO51" s="200"/>
      <c r="AP51" s="200"/>
      <c r="AQ51" s="849"/>
      <c r="AR51" s="200"/>
      <c r="AS51" s="850"/>
      <c r="AV51" s="3479" t="str">
        <f>IF(T51="","",T51)</f>
        <v>Добавить наименование признака дифференциации</v>
      </c>
      <c r="AY51" s="3432">
        <v>21</v>
      </c>
    </row>
    <row customHeight="1" ht="0">
      <c r="A52" s="3470" t="s">
        <v>271</v>
      </c>
      <c r="B52" s="3470" t="s">
        <v>272</v>
      </c>
      <c r="E52" s="3824"/>
      <c r="F52" s="3817"/>
      <c r="T52" s="856" t="s">
        <v>430</v>
      </c>
      <c r="AV52" s="3479" t="str">
        <f>IF(T52="","",T52)</f>
        <v>Добавить централизованную систему для дифференциации</v>
      </c>
      <c r="AY52" s="3473">
        <v>0</v>
      </c>
    </row>
    <row customHeight="1" ht="0">
      <c r="A53" s="3470" t="s">
        <v>271</v>
      </c>
      <c r="E53" s="3817"/>
      <c r="T53" s="856" t="s">
        <v>431</v>
      </c>
      <c r="AV53" s="3479" t="str">
        <f>IF(T53="","",T53)</f>
        <v>Добавить территорию для дифференциации</v>
      </c>
      <c r="AY53" s="3473">
        <v>0</v>
      </c>
    </row>
    <row customHeight="1" ht="0">
      <c r="T54" s="856" t="s">
        <v>463</v>
      </c>
      <c r="AV54" s="3479" t="str">
        <f>IF(T54="","",T54)</f>
        <v>Добавить наименование тарифа</v>
      </c>
      <c r="AY54" s="3473">
        <v>0</v>
      </c>
    </row>
    <row customHeight="1" ht="11.549999999999999">
      <c r="AY55" s="3432">
        <v>11</v>
      </c>
    </row>
    <row customHeight="1" ht="14.699999999999998">
      <c r="AY56" s="3432">
        <v>14</v>
      </c>
    </row>
    <row customHeight="1" ht="14.699999999999998">
      <c r="AY57" s="3432">
        <v>14</v>
      </c>
    </row>
    <row customHeight="1" ht="14.699999999999998">
      <c r="AY58" s="3432">
        <v>14</v>
      </c>
    </row>
    <row customHeight="1" ht="22.5" hidden="1">
      <c r="A59" s="3449" t="s">
        <v>80</v>
      </c>
      <c r="B59" s="3449">
        <v>0</v>
      </c>
      <c r="C59" s="3449">
        <v>0</v>
      </c>
      <c r="D59" s="3449">
        <v>0</v>
      </c>
      <c r="E59" s="3449">
        <v>0</v>
      </c>
      <c r="F59" s="3449">
        <v>0</v>
      </c>
      <c r="G59" s="3449">
        <v>0</v>
      </c>
      <c r="H59" s="3449">
        <v>0</v>
      </c>
      <c r="I59" s="3449">
        <v>0</v>
      </c>
      <c r="J59" s="3449">
        <v>0</v>
      </c>
      <c r="K59" s="3449">
        <v>0</v>
      </c>
      <c r="L59" s="3618">
        <v>0</v>
      </c>
      <c r="M59" s="105">
        <v>0</v>
      </c>
      <c r="N59" s="105">
        <v>0</v>
      </c>
      <c r="O59" s="105">
        <v>0</v>
      </c>
      <c r="P59" s="782">
        <v>3</v>
      </c>
      <c r="Q59" s="3797">
        <v>3</v>
      </c>
      <c r="R59" s="3797">
        <v>3</v>
      </c>
      <c r="S59" s="3447">
        <v>12</v>
      </c>
      <c r="T59" s="3432">
        <v>35</v>
      </c>
      <c r="U59" s="3432">
        <v>0</v>
      </c>
      <c r="V59" s="3432">
        <v>0</v>
      </c>
      <c r="W59" s="3432">
        <v>0</v>
      </c>
      <c r="X59" s="3432">
        <v>0</v>
      </c>
      <c r="Y59" s="3432">
        <v>0</v>
      </c>
      <c r="Z59" s="3432">
        <v>0</v>
      </c>
      <c r="AA59" s="3432">
        <v>0</v>
      </c>
      <c r="AB59" s="3432">
        <v>0</v>
      </c>
      <c r="AC59" s="3432">
        <v>0</v>
      </c>
      <c r="AD59" s="3432">
        <v>0</v>
      </c>
      <c r="AE59" s="3432">
        <v>0</v>
      </c>
      <c r="AF59" s="3432">
        <v>0</v>
      </c>
      <c r="AG59" s="3432">
        <v>19</v>
      </c>
      <c r="AH59" s="3432">
        <v>19</v>
      </c>
      <c r="AI59" s="3432">
        <v>19</v>
      </c>
      <c r="AJ59" s="3432">
        <v>19</v>
      </c>
      <c r="AK59" s="3432">
        <v>19</v>
      </c>
      <c r="AL59" s="3432">
        <v>19</v>
      </c>
      <c r="AM59" s="3432">
        <v>19</v>
      </c>
      <c r="AN59" s="3432">
        <v>11</v>
      </c>
      <c r="AO59" s="3432">
        <v>3</v>
      </c>
      <c r="AP59" s="3432">
        <v>11</v>
      </c>
      <c r="AQ59" s="3432">
        <v>0</v>
      </c>
      <c r="AR59" s="3432">
        <v>4</v>
      </c>
      <c r="AS59" s="3432">
        <v>115</v>
      </c>
      <c r="AT59" s="3473">
        <v>10</v>
      </c>
      <c r="AU59" s="3473">
        <v>10</v>
      </c>
      <c r="AV59" s="3473">
        <v>10</v>
      </c>
      <c r="AW59" s="3473">
        <v>10</v>
      </c>
      <c r="AX59" s="3473">
        <v>10</v>
      </c>
      <c r="AY59" s="343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3CBBF-FF92-778F-F53F-B0EDE165961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348" width="11.57421875" hidden="1" customWidth="1"/>
    <col min="2" max="2" style="7348" width="11.00390625" hidden="1" customWidth="1"/>
    <col min="3" max="3" style="7348" width="10.57421875" hidden="1"/>
    <col min="4" max="4" style="7348" width="12.8515625" hidden="1" customWidth="1"/>
    <col min="5" max="5" style="7348" width="10.00390625" hidden="1" customWidth="1"/>
    <col min="6" max="6" style="7348" width="8.7109375" hidden="1" customWidth="1"/>
    <col min="7" max="7" style="7348" width="7.57421875" hidden="1" customWidth="1"/>
    <col min="8" max="8" style="7348" width="11.421875" hidden="1" customWidth="1"/>
    <col min="9" max="9" style="7348" width="12.00390625" hidden="1" customWidth="1"/>
    <col min="10" max="10" style="7348" width="9.8515625" hidden="1" customWidth="1"/>
    <col min="11" max="11" style="7348" width="11.421875" hidden="1" customWidth="1"/>
    <col min="12" max="12" style="7348" width="19.140625" hidden="1" customWidth="1"/>
    <col min="13" max="14" style="7348" width="12.28125" hidden="1" customWidth="1"/>
    <col min="15" max="15" style="7348" width="23.421875" hidden="1" customWidth="1"/>
    <col min="16" max="17" style="7348" width="3.7109375" hidden="1" customWidth="1"/>
    <col min="18" max="18" style="7348" width="3.00390625" customWidth="1"/>
    <col min="19" max="19" style="7348" width="12.00390625" customWidth="1"/>
    <col min="20" max="20" style="7348" width="31.00390625" customWidth="1"/>
    <col min="21" max="21" style="7348" width="0.140625" customWidth="1"/>
    <col min="22" max="25" style="7348" width="21.7109375" hidden="1" customWidth="1"/>
    <col min="26" max="26" style="7348" width="11.7109375" hidden="1" customWidth="1"/>
    <col min="27" max="27" style="7348" width="3.7109375" hidden="1" customWidth="1"/>
    <col min="28" max="28" style="7348" width="11.7109375" hidden="1" customWidth="1"/>
    <col min="29" max="29" style="7348" width="8.57421875" hidden="1" customWidth="1"/>
    <col min="30" max="30" style="7348" width="3.7109375" customWidth="1"/>
    <col min="31" max="32" style="7348" width="3.00390625" customWidth="1"/>
    <col min="33" max="33" style="7348" width="24.00390625" customWidth="1"/>
    <col min="34" max="34" style="7348" width="3.7109375" customWidth="1"/>
    <col min="35" max="36" style="7348" width="3.00390625" customWidth="1"/>
    <col min="37" max="37" style="7348" width="24.00390625" customWidth="1"/>
    <col min="38" max="38" style="7348" width="3.7109375" customWidth="1"/>
    <col min="39" max="40" style="7348" width="3.00390625" customWidth="1"/>
    <col min="41" max="41" style="7348" width="18.00390625" customWidth="1"/>
    <col min="42" max="42" style="7348" width="3.7109375" customWidth="1"/>
    <col min="43" max="44" style="7348" width="3.00390625" customWidth="1"/>
    <col min="45" max="45" style="7348" width="18.00390625" customWidth="1"/>
    <col min="46" max="49" style="7348" width="21.00390625" customWidth="1"/>
    <col min="50" max="50" style="7348" width="11.00390625" customWidth="1"/>
    <col min="51" max="51" style="7348" width="3.7109375" customWidth="1"/>
    <col min="52" max="52" style="7348" width="11.00390625" customWidth="1"/>
    <col min="53" max="53" style="7348" width="8.57421875" hidden="1" customWidth="1"/>
    <col min="54" max="54" style="7348" width="4.00390625" customWidth="1"/>
    <col min="55" max="55" style="7348" width="115.00390625" customWidth="1"/>
    <col min="56" max="60" style="7348" width="10.00390625" customWidth="1"/>
    <col min="61" max="61" style="7348" width="10.57421875" hidden="1"/>
  </cols>
  <sheetData>
    <row customHeight="1" ht="22.5" hidden="1">
      <c r="BI1" s="3432" t="s">
        <v>14</v>
      </c>
    </row>
    <row customHeight="1" ht="21" hidden="1">
      <c r="E2" s="3817">
        <v>1</v>
      </c>
      <c r="R2" s="816"/>
      <c r="S2" s="3818">
        <f>INDEX(PT_DIFFERENTIATION_NUM_NTAR,MATCH(A2,PT_DIFFERENTIATION_NTAR_ID,0))</f>
      </c>
      <c r="T2" s="3764" t="s">
        <v>141</v>
      </c>
      <c r="U2" s="3819"/>
      <c r="V2" s="3821"/>
      <c r="W2" s="3821"/>
      <c r="X2" s="3821"/>
      <c r="Y2" s="3821"/>
      <c r="Z2" s="3821"/>
      <c r="AA2" s="3821"/>
      <c r="AB2" s="3821"/>
      <c r="AC2" s="3822"/>
      <c r="AD2" s="3820">
        <f>INDEX(PT_DIFFERENTIATION_NTAR,MATCH(A2,PT_DIFFERENTIATION_NTAR_ID,0))</f>
      </c>
      <c r="AE2" s="3821"/>
      <c r="AF2" s="3821"/>
      <c r="AG2" s="3821"/>
      <c r="AH2" s="3821"/>
      <c r="AI2" s="3821"/>
      <c r="AJ2" s="3821"/>
      <c r="AK2" s="3821"/>
      <c r="AL2" s="3821"/>
      <c r="AM2" s="3821"/>
      <c r="AN2" s="3821"/>
      <c r="AO2" s="3821"/>
      <c r="AP2" s="3821"/>
      <c r="AQ2" s="3821"/>
      <c r="AR2" s="3821"/>
      <c r="AS2" s="3821"/>
      <c r="AT2" s="3821"/>
      <c r="AU2" s="3821"/>
      <c r="AV2" s="3821"/>
      <c r="AW2" s="3821"/>
      <c r="AX2" s="3821"/>
      <c r="AY2" s="3821"/>
      <c r="AZ2" s="3821"/>
      <c r="BA2" s="3821"/>
      <c r="BB2" s="3822"/>
      <c r="BC2"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3479" t="str">
        <f>IF(T2="","",T2)</f>
        <v>Наименование тарифа</v>
      </c>
      <c r="BI2" s="3432">
        <v>0</v>
      </c>
    </row>
    <row customHeight="1" ht="21" hidden="1">
      <c r="E3" s="3824"/>
      <c r="F3" s="3817">
        <v>1</v>
      </c>
      <c r="Q3" s="3890"/>
      <c r="R3" s="3826"/>
      <c r="S3" s="3818">
        <f>INDEX(PT_DIFFERENTIATION_NUM_TER,MATCH(B3,PT_DIFFERENTIATION_TER_ID,0))</f>
      </c>
      <c r="T3" s="3827" t="s">
        <v>412</v>
      </c>
      <c r="U3" s="3819"/>
      <c r="V3" s="3821"/>
      <c r="W3" s="3821"/>
      <c r="X3" s="3821"/>
      <c r="Y3" s="3821"/>
      <c r="Z3" s="3821"/>
      <c r="AA3" s="3821"/>
      <c r="AB3" s="3821"/>
      <c r="AC3" s="3822"/>
      <c r="AD3" s="3820">
        <f>INDEX(PT_DIFFERENTIATION_TER,MATCH(B3,PT_DIFFERENTIATION_TER_ID,0))</f>
      </c>
      <c r="AE3" s="3821"/>
      <c r="AF3" s="3821"/>
      <c r="AG3" s="3821"/>
      <c r="AH3" s="3821"/>
      <c r="AI3" s="3821"/>
      <c r="AJ3" s="3821"/>
      <c r="AK3" s="3821"/>
      <c r="AL3" s="3821"/>
      <c r="AM3" s="3821"/>
      <c r="AN3" s="3821"/>
      <c r="AO3" s="3821"/>
      <c r="AP3" s="3821"/>
      <c r="AQ3" s="3821"/>
      <c r="AR3" s="3821"/>
      <c r="AS3" s="3821"/>
      <c r="AT3" s="3821"/>
      <c r="AU3" s="3821"/>
      <c r="AV3" s="3821"/>
      <c r="AW3" s="3821"/>
      <c r="AX3" s="3821"/>
      <c r="AY3" s="3821"/>
      <c r="AZ3" s="3821"/>
      <c r="BA3" s="3821"/>
      <c r="BB3" s="3822"/>
      <c r="BC3" s="3823" t="s">
        <v>413</v>
      </c>
      <c r="BF3" s="3479" t="str">
        <f>IF(T3="","",T3)</f>
        <v>Территория действия тарифа</v>
      </c>
      <c r="BI3" s="3432">
        <v>0</v>
      </c>
    </row>
    <row customHeight="1" ht="33.75" hidden="1">
      <c r="E4" s="3824"/>
      <c r="F4" s="3824"/>
      <c r="G4" s="3817">
        <v>1</v>
      </c>
      <c r="Q4" s="3890"/>
      <c r="R4" s="3826"/>
      <c r="S4" s="3818">
        <f>INDEX(PT_DIFFERENTIATION_NUM_CS,MATCH(C4,PT_DIFFERENTIATION_CS_ID,0))</f>
      </c>
      <c r="T4" s="3828" t="s">
        <v>545</v>
      </c>
      <c r="U4" s="3819"/>
      <c r="V4" s="3821"/>
      <c r="W4" s="3821"/>
      <c r="X4" s="3821"/>
      <c r="Y4" s="3821"/>
      <c r="Z4" s="3821"/>
      <c r="AA4" s="3821"/>
      <c r="AB4" s="3821"/>
      <c r="AC4" s="3822"/>
      <c r="AD4" s="3820">
        <f>INDEX(PT_DIFFERENTIATION_CS,MATCH(C4,PT_DIFFERENTIATION_CS_ID,0))</f>
      </c>
      <c r="AE4" s="3821"/>
      <c r="AF4" s="3821"/>
      <c r="AG4" s="3821"/>
      <c r="AH4" s="3821"/>
      <c r="AI4" s="3821"/>
      <c r="AJ4" s="3821"/>
      <c r="AK4" s="3821"/>
      <c r="AL4" s="3821"/>
      <c r="AM4" s="3821"/>
      <c r="AN4" s="3821"/>
      <c r="AO4" s="3821"/>
      <c r="AP4" s="3821"/>
      <c r="AQ4" s="3821"/>
      <c r="AR4" s="3821"/>
      <c r="AS4" s="3821"/>
      <c r="AT4" s="3821"/>
      <c r="AU4" s="3821"/>
      <c r="AV4" s="3821"/>
      <c r="AW4" s="3821"/>
      <c r="AX4" s="3821"/>
      <c r="AY4" s="3821"/>
      <c r="AZ4" s="3821"/>
      <c r="BA4" s="3821"/>
      <c r="BB4" s="3822"/>
      <c r="BC4" s="3823" t="s">
        <v>546</v>
      </c>
      <c r="BF4" s="3479" t="str">
        <f>IF(T4="","",T4)</f>
        <v>Наименование централизованной системы горячего водоснабжения</v>
      </c>
      <c r="BI4" s="3432">
        <v>0</v>
      </c>
    </row>
    <row customHeight="1" ht="14.25" hidden="1">
      <c r="E5" s="3824"/>
      <c r="F5" s="3824"/>
      <c r="G5" s="3824"/>
      <c r="H5" s="3817">
        <v>1</v>
      </c>
      <c r="Q5" s="3942"/>
      <c r="R5" s="3836"/>
      <c r="S5" s="3582"/>
      <c r="T5" s="3943"/>
      <c r="U5" s="3861"/>
      <c r="V5" s="3863"/>
      <c r="W5" s="3863"/>
      <c r="X5" s="3863"/>
      <c r="Y5" s="3863"/>
      <c r="Z5" s="3863"/>
      <c r="AA5" s="3863"/>
      <c r="AB5" s="3863"/>
      <c r="AC5" s="3864"/>
      <c r="AD5" s="3862"/>
      <c r="AE5" s="3863"/>
      <c r="AF5" s="3863"/>
      <c r="AG5" s="3863"/>
      <c r="AH5" s="3863"/>
      <c r="AI5" s="3863"/>
      <c r="AJ5" s="3863"/>
      <c r="AK5" s="3863"/>
      <c r="AL5" s="3863"/>
      <c r="AM5" s="3863"/>
      <c r="AN5" s="3863"/>
      <c r="AO5" s="3863"/>
      <c r="AP5" s="3863"/>
      <c r="AQ5" s="3863"/>
      <c r="AR5" s="3863"/>
      <c r="AS5" s="3863"/>
      <c r="AT5" s="3863"/>
      <c r="AU5" s="3863"/>
      <c r="AV5" s="3863"/>
      <c r="AW5" s="3863"/>
      <c r="AX5" s="3863"/>
      <c r="AY5" s="3863"/>
      <c r="AZ5" s="3863"/>
      <c r="BA5" s="3863"/>
      <c r="BB5" s="3864"/>
      <c r="BC5" s="3865" t="s">
        <v>417</v>
      </c>
      <c r="BF5" s="3479" t="str">
        <f>IF(T5="","",T5)</f>
        <v/>
      </c>
      <c r="BI5" s="3473">
        <v>0</v>
      </c>
    </row>
    <row customHeight="1" ht="14.25" hidden="1">
      <c r="E6" s="3824"/>
      <c r="F6" s="3824"/>
      <c r="G6" s="3824"/>
      <c r="H6" s="3824"/>
      <c r="I6" s="3711" t="str">
        <f>S5&amp;".1"</f>
        <v>.1</v>
      </c>
      <c r="L6" s="3866" t="s">
        <v>418</v>
      </c>
      <c r="P6" s="3471">
        <v>1</v>
      </c>
      <c r="R6" s="3831"/>
      <c r="S6" s="3582"/>
      <c r="T6" s="3860"/>
      <c r="U6" s="3861"/>
      <c r="V6" s="3863"/>
      <c r="W6" s="3863"/>
      <c r="X6" s="3863"/>
      <c r="Y6" s="3863"/>
      <c r="Z6" s="3863"/>
      <c r="AA6" s="3863"/>
      <c r="AB6" s="3863"/>
      <c r="AC6" s="3864"/>
      <c r="AD6" s="3862"/>
      <c r="AE6" s="3863"/>
      <c r="AF6" s="3863"/>
      <c r="AG6" s="3863"/>
      <c r="AH6" s="3863"/>
      <c r="AI6" s="3863"/>
      <c r="AJ6" s="3863"/>
      <c r="AK6" s="3863"/>
      <c r="AL6" s="3863"/>
      <c r="AM6" s="3863"/>
      <c r="AN6" s="3863"/>
      <c r="AO6" s="3863"/>
      <c r="AP6" s="3863"/>
      <c r="AQ6" s="3863"/>
      <c r="AR6" s="3863"/>
      <c r="AS6" s="3863"/>
      <c r="AT6" s="3863"/>
      <c r="AU6" s="3863"/>
      <c r="AV6" s="3863"/>
      <c r="AW6" s="3863"/>
      <c r="AX6" s="3863"/>
      <c r="AY6" s="3863"/>
      <c r="AZ6" s="3863"/>
      <c r="BA6" s="3863"/>
      <c r="BB6" s="3864"/>
      <c r="BC6" s="3865"/>
      <c r="BF6" s="3479" t="str">
        <f>IF(T6="","",T6)</f>
        <v/>
      </c>
      <c r="BI6" s="3473">
        <v>0</v>
      </c>
    </row>
    <row customHeight="1" ht="14.25" hidden="1">
      <c r="E7" s="3824"/>
      <c r="F7" s="3824"/>
      <c r="G7" s="3824"/>
      <c r="H7" s="3824"/>
      <c r="I7" s="3835"/>
      <c r="J7" s="3711" t="str">
        <f>S5&amp;".1"</f>
        <v>.1</v>
      </c>
      <c r="Q7" s="3471">
        <v>1</v>
      </c>
      <c r="R7" s="3836"/>
      <c r="S7" s="3582"/>
      <c r="T7" s="3891"/>
      <c r="U7" s="3861"/>
      <c r="V7" s="3863"/>
      <c r="W7" s="3863"/>
      <c r="X7" s="3863"/>
      <c r="Y7" s="3863"/>
      <c r="Z7" s="3863"/>
      <c r="AA7" s="3863"/>
      <c r="AB7" s="3863"/>
      <c r="AC7" s="3864"/>
      <c r="AD7" s="3862"/>
      <c r="AE7" s="3863"/>
      <c r="AF7" s="3863"/>
      <c r="AG7" s="3863"/>
      <c r="AH7" s="3863"/>
      <c r="AI7" s="3863"/>
      <c r="AJ7" s="3863"/>
      <c r="AK7" s="3863"/>
      <c r="AL7" s="3863"/>
      <c r="AM7" s="3863"/>
      <c r="AN7" s="3863"/>
      <c r="AO7" s="3863"/>
      <c r="AP7" s="3863"/>
      <c r="AQ7" s="3863"/>
      <c r="AR7" s="3863"/>
      <c r="AS7" s="3863"/>
      <c r="AT7" s="3863"/>
      <c r="AU7" s="3863"/>
      <c r="AV7" s="3863"/>
      <c r="AW7" s="3863"/>
      <c r="AX7" s="3863"/>
      <c r="AY7" s="3863"/>
      <c r="AZ7" s="3863"/>
      <c r="BA7" s="3863"/>
      <c r="BB7" s="3864"/>
      <c r="BC7" s="3865"/>
      <c r="BF7" s="3479" t="str">
        <f>IF(T7="","",T7)</f>
        <v/>
      </c>
      <c r="BI7" s="3473">
        <v>0</v>
      </c>
    </row>
    <row customHeight="1" ht="11.25" hidden="1">
      <c r="E8" s="3824"/>
      <c r="F8" s="3824"/>
      <c r="G8" s="3824"/>
      <c r="H8" s="3824"/>
      <c r="I8" s="3835"/>
      <c r="J8" s="3835"/>
      <c r="K8" s="3711">
        <f>S4&amp;".1"</f>
      </c>
      <c r="R8" s="3892">
        <v>1</v>
      </c>
      <c r="S8" s="3867">
        <f>$K8</f>
      </c>
      <c r="T8" s="986"/>
      <c r="U8" s="3819"/>
      <c r="V8" s="838"/>
      <c r="W8" s="840"/>
      <c r="X8" s="838"/>
      <c r="Y8" s="840"/>
      <c r="Z8" s="572"/>
      <c r="AA8" s="210" t="s">
        <v>61</v>
      </c>
      <c r="AB8" s="572"/>
      <c r="AC8" s="210" t="s">
        <v>61</v>
      </c>
      <c r="AD8" s="289" t="s">
        <v>61</v>
      </c>
      <c r="AE8" s="3893"/>
      <c r="AF8" s="314">
        <v>1</v>
      </c>
      <c r="AG8" s="987"/>
      <c r="AH8" s="210" t="s">
        <v>61</v>
      </c>
      <c r="AI8" s="3893"/>
      <c r="AJ8" s="314">
        <v>1</v>
      </c>
      <c r="AK8" s="97" t="s">
        <v>22</v>
      </c>
      <c r="AL8" s="210" t="s">
        <v>61</v>
      </c>
      <c r="AM8" s="3555"/>
      <c r="AN8" s="314">
        <v>1</v>
      </c>
      <c r="AO8" s="1039"/>
      <c r="AP8" s="1040" t="s">
        <v>61</v>
      </c>
      <c r="AQ8" s="3894"/>
      <c r="AR8" s="314">
        <v>1</v>
      </c>
      <c r="AS8" s="107" t="s">
        <v>22</v>
      </c>
      <c r="AT8" s="838"/>
      <c r="AU8" s="840"/>
      <c r="AV8" s="838"/>
      <c r="AW8" s="840"/>
      <c r="AX8" s="572"/>
      <c r="AY8" s="210" t="s">
        <v>61</v>
      </c>
      <c r="AZ8" s="572"/>
      <c r="BA8" s="210" t="s">
        <v>61</v>
      </c>
      <c r="BB8" s="882"/>
      <c r="BC8" s="3839" t="s">
        <v>516</v>
      </c>
      <c r="BF8" s="3479" t="str">
        <f>IF(T8="","",T8)</f>
        <v/>
      </c>
      <c r="BI8" s="3432">
        <v>0</v>
      </c>
    </row>
    <row customHeight="1" ht="11.25" hidden="1">
      <c r="E9" s="3824"/>
      <c r="F9" s="3824"/>
      <c r="G9" s="3824"/>
      <c r="H9" s="3824"/>
      <c r="I9" s="3835"/>
      <c r="J9" s="3835"/>
      <c r="K9" s="3711"/>
      <c r="R9" s="3892"/>
      <c r="S9" s="3895"/>
      <c r="T9" s="1041"/>
      <c r="U9" s="3819"/>
      <c r="V9" s="925"/>
      <c r="W9" s="943"/>
      <c r="X9" s="925"/>
      <c r="Y9" s="943"/>
      <c r="Z9" s="925"/>
      <c r="AA9" s="925"/>
      <c r="AB9" s="925"/>
      <c r="AC9" s="925"/>
      <c r="AD9" s="295"/>
      <c r="AE9" s="3893"/>
      <c r="AF9" s="314"/>
      <c r="AG9" s="987"/>
      <c r="AH9" s="210"/>
      <c r="AI9" s="3893"/>
      <c r="AJ9" s="314"/>
      <c r="AK9" s="97"/>
      <c r="AL9" s="210"/>
      <c r="AM9" s="3561"/>
      <c r="AN9" s="314"/>
      <c r="AO9" s="1039"/>
      <c r="AP9" s="1042"/>
      <c r="AQ9" s="697"/>
      <c r="AR9" s="172"/>
      <c r="AS9" s="172" t="s">
        <v>517</v>
      </c>
      <c r="AT9" s="925"/>
      <c r="AU9" s="943"/>
      <c r="AV9" s="925"/>
      <c r="AW9" s="943"/>
      <c r="AX9" s="925"/>
      <c r="AY9" s="925"/>
      <c r="AZ9" s="925"/>
      <c r="BA9" s="925"/>
      <c r="BB9" s="942"/>
      <c r="BC9" s="3840"/>
      <c r="BI9" s="3432">
        <v>0</v>
      </c>
    </row>
    <row customHeight="1" ht="11.25" hidden="1">
      <c r="E10" s="3824"/>
      <c r="F10" s="3824"/>
      <c r="G10" s="3824"/>
      <c r="H10" s="3824"/>
      <c r="I10" s="3835"/>
      <c r="J10" s="3835"/>
      <c r="K10" s="3711"/>
      <c r="R10" s="3892"/>
      <c r="S10" s="3895"/>
      <c r="T10" s="1041"/>
      <c r="U10" s="3819"/>
      <c r="V10" s="925"/>
      <c r="W10" s="943"/>
      <c r="X10" s="925"/>
      <c r="Y10" s="943"/>
      <c r="Z10" s="925"/>
      <c r="AA10" s="925"/>
      <c r="AB10" s="925"/>
      <c r="AC10" s="925"/>
      <c r="AD10" s="295"/>
      <c r="AE10" s="3893"/>
      <c r="AF10" s="314"/>
      <c r="AG10" s="987"/>
      <c r="AH10" s="210"/>
      <c r="AI10" s="3893"/>
      <c r="AJ10" s="314"/>
      <c r="AK10" s="97"/>
      <c r="AL10" s="210"/>
      <c r="AM10" s="697"/>
      <c r="AN10" s="791"/>
      <c r="AO10" s="791" t="s">
        <v>518</v>
      </c>
      <c r="AP10" s="172"/>
      <c r="AQ10" s="172"/>
      <c r="AR10" s="172"/>
      <c r="AS10" s="925"/>
      <c r="AT10" s="925"/>
      <c r="AU10" s="943"/>
      <c r="AV10" s="925"/>
      <c r="AW10" s="943"/>
      <c r="AX10" s="925"/>
      <c r="AY10" s="925"/>
      <c r="AZ10" s="925"/>
      <c r="BA10" s="925"/>
      <c r="BB10" s="942"/>
      <c r="BC10" s="3840"/>
      <c r="BI10" s="3432">
        <v>0</v>
      </c>
    </row>
    <row customHeight="1" ht="11.25" hidden="1">
      <c r="E11" s="3824"/>
      <c r="F11" s="3824"/>
      <c r="G11" s="3824"/>
      <c r="H11" s="3824"/>
      <c r="I11" s="3835"/>
      <c r="J11" s="3835"/>
      <c r="K11" s="3711"/>
      <c r="R11" s="3892"/>
      <c r="S11" s="3895"/>
      <c r="T11" s="1041"/>
      <c r="U11" s="3819"/>
      <c r="V11" s="925"/>
      <c r="W11" s="943"/>
      <c r="X11" s="925"/>
      <c r="Y11" s="943"/>
      <c r="Z11" s="925"/>
      <c r="AA11" s="925"/>
      <c r="AB11" s="925"/>
      <c r="AC11" s="925"/>
      <c r="AD11" s="295"/>
      <c r="AE11" s="3893"/>
      <c r="AF11" s="314"/>
      <c r="AG11" s="987"/>
      <c r="AH11" s="210"/>
      <c r="AI11" s="945"/>
      <c r="AJ11" s="167"/>
      <c r="AK11" s="406" t="s">
        <v>519</v>
      </c>
      <c r="AL11" s="925"/>
      <c r="AM11" s="925"/>
      <c r="AN11" s="925"/>
      <c r="AO11" s="925"/>
      <c r="AP11" s="925"/>
      <c r="AQ11" s="925"/>
      <c r="AR11" s="925"/>
      <c r="AS11" s="925"/>
      <c r="AT11" s="925"/>
      <c r="AU11" s="943"/>
      <c r="AV11" s="925"/>
      <c r="AW11" s="943"/>
      <c r="AX11" s="925"/>
      <c r="AY11" s="925"/>
      <c r="AZ11" s="925"/>
      <c r="BA11" s="925"/>
      <c r="BB11" s="942"/>
      <c r="BC11" s="3840"/>
      <c r="BI11" s="3432">
        <v>0</v>
      </c>
    </row>
    <row customHeight="1" ht="11.25" hidden="1">
      <c r="E12" s="3824"/>
      <c r="F12" s="3824"/>
      <c r="G12" s="3824"/>
      <c r="H12" s="3824"/>
      <c r="I12" s="3835"/>
      <c r="J12" s="3835"/>
      <c r="K12" s="3711"/>
      <c r="R12" s="3892"/>
      <c r="S12" s="3876"/>
      <c r="T12" s="1043"/>
      <c r="U12" s="3819"/>
      <c r="V12" s="925"/>
      <c r="W12" s="926" t="str">
        <f>Z8&amp;"-"&amp;AB8</f>
        <v>-</v>
      </c>
      <c r="X12" s="925"/>
      <c r="Y12" s="926" t="str">
        <f>AB8&amp;"-"&amp;AD8</f>
        <v>-да</v>
      </c>
      <c r="Z12" s="925"/>
      <c r="AA12" s="925"/>
      <c r="AB12" s="925"/>
      <c r="AC12" s="925"/>
      <c r="AD12" s="206"/>
      <c r="AE12" s="948"/>
      <c r="AF12" s="949"/>
      <c r="AG12" s="172" t="s">
        <v>520</v>
      </c>
      <c r="AH12" s="925"/>
      <c r="AI12" s="925"/>
      <c r="AJ12" s="925"/>
      <c r="AK12" s="925"/>
      <c r="AL12" s="925"/>
      <c r="AM12" s="925"/>
      <c r="AN12" s="925"/>
      <c r="AO12" s="925"/>
      <c r="AP12" s="925"/>
      <c r="AQ12" s="925"/>
      <c r="AR12" s="925"/>
      <c r="AS12" s="925"/>
      <c r="AT12" s="925"/>
      <c r="AU12" s="926" t="str">
        <f>AX8&amp;"-"&amp;AZ8</f>
        <v>-</v>
      </c>
      <c r="AV12" s="925"/>
      <c r="AW12" s="926" t="str">
        <f>AZ8&amp;"-"&amp;BB8</f>
        <v>-</v>
      </c>
      <c r="AX12" s="925"/>
      <c r="AY12" s="925"/>
      <c r="AZ12" s="925"/>
      <c r="BA12" s="925"/>
      <c r="BB12" s="947" t="str">
        <f>BE8&amp;"-"&amp;BG8</f>
        <v>-</v>
      </c>
      <c r="BC12" s="3840"/>
      <c r="BF12" s="3479" t="str">
        <f>IF(T12="","",T12)</f>
        <v/>
      </c>
      <c r="BI12" s="3432">
        <v>0</v>
      </c>
    </row>
    <row customHeight="1" ht="11.25" hidden="1">
      <c r="E13" s="3824"/>
      <c r="F13" s="3824"/>
      <c r="G13" s="3824"/>
      <c r="H13" s="3824"/>
      <c r="I13" s="3835"/>
      <c r="J13" s="3711"/>
      <c r="R13" s="3831"/>
      <c r="S13" s="844"/>
      <c r="T13" s="848" t="s">
        <v>483</v>
      </c>
      <c r="U13" s="200"/>
      <c r="V13" s="200"/>
      <c r="W13" s="200"/>
      <c r="X13" s="200"/>
      <c r="Y13" s="200"/>
      <c r="Z13" s="200"/>
      <c r="AA13" s="200"/>
      <c r="AB13" s="200"/>
      <c r="AC13" s="200"/>
      <c r="AD13" s="971"/>
      <c r="AE13" s="200"/>
      <c r="AF13" s="200"/>
      <c r="AG13" s="200"/>
      <c r="AH13" s="200"/>
      <c r="AI13" s="200"/>
      <c r="AJ13" s="200"/>
      <c r="AK13" s="200"/>
      <c r="AL13" s="200"/>
      <c r="AM13" s="200"/>
      <c r="AN13" s="200"/>
      <c r="AO13" s="200"/>
      <c r="AP13" s="200"/>
      <c r="AQ13" s="200"/>
      <c r="AR13" s="200"/>
      <c r="AS13" s="200"/>
      <c r="AT13" s="200"/>
      <c r="AU13" s="200"/>
      <c r="AV13" s="200"/>
      <c r="AW13" s="200"/>
      <c r="AX13" s="200"/>
      <c r="AY13" s="200"/>
      <c r="AZ13" s="200"/>
      <c r="BA13" s="200"/>
      <c r="BB13" s="846"/>
      <c r="BC13" s="3841"/>
      <c r="BF13" s="3479" t="str">
        <f>IF(T13="","",T13)</f>
        <v>Добавить строку</v>
      </c>
      <c r="BI13" s="3432">
        <v>0</v>
      </c>
    </row>
    <row customHeight="1" ht="14.25" hidden="1">
      <c r="E14" s="3824"/>
      <c r="F14" s="3824"/>
      <c r="G14" s="3824"/>
      <c r="H14" s="3824"/>
      <c r="I14" s="3711"/>
      <c r="R14" s="3831"/>
      <c r="S14" s="894"/>
      <c r="T14" s="895"/>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7"/>
      <c r="BF14" s="3479" t="str">
        <f>IF(T14="","",T14)</f>
        <v/>
      </c>
      <c r="BI14" s="3473">
        <v>0</v>
      </c>
    </row>
    <row customHeight="1" ht="14.25" hidden="1">
      <c r="E15" s="3824"/>
      <c r="F15" s="3824"/>
      <c r="G15" s="3824"/>
      <c r="H15" s="3817"/>
      <c r="R15" s="950"/>
      <c r="S15" s="894"/>
      <c r="T15" s="895"/>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6"/>
      <c r="AY15" s="896"/>
      <c r="AZ15" s="896"/>
      <c r="BA15" s="896"/>
      <c r="BB15" s="896"/>
      <c r="BC15" s="897"/>
      <c r="BF15" s="3479" t="str">
        <f>IF(T15="","",T15)</f>
        <v/>
      </c>
      <c r="BI15" s="3473">
        <v>0</v>
      </c>
    </row>
    <row customHeight="1" ht="14.25" hidden="1">
      <c r="E16" s="3824"/>
      <c r="F16" s="3824"/>
      <c r="G16" s="3817"/>
      <c r="BF16" s="3479" t="str">
        <f>IF(T16="","",T16)</f>
        <v/>
      </c>
      <c r="BI16" s="3473">
        <v>0</v>
      </c>
    </row>
    <row customHeight="1" ht="14.25" hidden="1">
      <c r="E17" s="3824"/>
      <c r="F17" s="3817"/>
      <c r="T17" s="856" t="s">
        <v>430</v>
      </c>
      <c r="BF17" s="3479" t="str">
        <f>IF(T17="","",T17)</f>
        <v>Добавить централизованную систему для дифференциации</v>
      </c>
      <c r="BI17" s="3473">
        <v>0</v>
      </c>
    </row>
    <row customHeight="1" ht="14.25" hidden="1">
      <c r="E18" s="3817"/>
      <c r="T18" s="856" t="s">
        <v>431</v>
      </c>
      <c r="BF18" s="3479" t="str">
        <f>IF(T18="","",T18)</f>
        <v>Добавить территорию для дифференциации</v>
      </c>
      <c r="BI18" s="3473">
        <v>0</v>
      </c>
    </row>
    <row customHeight="1" ht="14.25" hidden="1">
      <c r="BI19" s="3432">
        <v>0</v>
      </c>
    </row>
    <row customHeight="1" ht="14.25" hidden="1">
      <c r="AD20" s="951" t="s">
        <v>19</v>
      </c>
      <c r="AF20" s="951">
        <v>1</v>
      </c>
      <c r="AH20" s="951" t="s">
        <v>19</v>
      </c>
      <c r="AJ20" s="951">
        <v>1</v>
      </c>
      <c r="AL20" s="951" t="s">
        <v>19</v>
      </c>
      <c r="AN20" s="951">
        <v>1</v>
      </c>
      <c r="AP20" s="951" t="s">
        <v>19</v>
      </c>
      <c r="AR20" s="951">
        <v>1</v>
      </c>
      <c r="AT20" s="839"/>
      <c r="AU20" s="885"/>
      <c r="AV20" s="839"/>
      <c r="AW20" s="885"/>
      <c r="AX20" s="954"/>
      <c r="AY20" s="742" t="s">
        <v>61</v>
      </c>
      <c r="AZ20" s="954"/>
      <c r="BA20" s="742" t="s">
        <v>61</v>
      </c>
      <c r="BI20" s="3432">
        <v>0</v>
      </c>
    </row>
    <row customHeight="1" ht="14.25" hidden="1">
      <c r="BI21" s="3432">
        <v>0</v>
      </c>
    </row>
    <row customHeight="1" ht="14.25" hidden="1">
      <c r="O22" s="859" t="s">
        <v>432</v>
      </c>
      <c r="Z22" s="929"/>
      <c r="AB22" s="929"/>
      <c r="AX22" s="929"/>
      <c r="AZ22" s="929"/>
      <c r="BI22" s="3432">
        <v>0</v>
      </c>
    </row>
    <row customHeight="1" ht="14.25" hidden="1">
      <c r="BI23" s="3432">
        <v>0</v>
      </c>
    </row>
    <row customHeight="1" ht="14.25" hidden="1">
      <c r="O24" s="3897" t="s">
        <v>433</v>
      </c>
      <c r="AA24" s="3897" t="s">
        <v>435</v>
      </c>
      <c r="AC24" s="3897" t="s">
        <v>436</v>
      </c>
      <c r="AD24" s="3897" t="s">
        <v>484</v>
      </c>
      <c r="AH24" s="3897" t="s">
        <v>484</v>
      </c>
      <c r="AK24" s="3897" t="s">
        <v>521</v>
      </c>
      <c r="AL24" s="3897" t="s">
        <v>484</v>
      </c>
      <c r="AP24" s="3897" t="s">
        <v>484</v>
      </c>
      <c r="AY24" s="3897" t="s">
        <v>435</v>
      </c>
      <c r="BA24" s="3897" t="s">
        <v>436</v>
      </c>
      <c r="BI24" s="3897">
        <v>0</v>
      </c>
    </row>
    <row customHeight="1" ht="14.25" hidden="1">
      <c r="BI25" s="3432">
        <v>0</v>
      </c>
    </row>
    <row customHeight="1" ht="14.25" hidden="1">
      <c r="BI26" s="3432">
        <v>0</v>
      </c>
    </row>
    <row customHeight="1" ht="14.699999999999998">
      <c r="Q27" s="3898"/>
      <c r="R27" s="3719"/>
      <c r="S27" s="3842"/>
      <c r="T27" s="3450"/>
      <c r="U27" s="3450"/>
      <c r="BI27" s="3432">
        <v>14</v>
      </c>
    </row>
    <row customHeight="1" ht="14.699999999999998">
      <c r="Q28" s="3898"/>
      <c r="R28" s="3719"/>
      <c r="S28" s="3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646"/>
      <c r="U28" s="3646"/>
      <c r="V28" s="3646"/>
      <c r="W28" s="3646"/>
      <c r="X28" s="3646"/>
      <c r="Y28" s="3646"/>
      <c r="Z28" s="3646"/>
      <c r="AA28" s="3646"/>
      <c r="AB28" s="3646"/>
      <c r="AC28" s="3646"/>
      <c r="AD28" s="3646"/>
      <c r="AE28" s="3646"/>
      <c r="AF28" s="3646"/>
      <c r="AG28" s="3646"/>
      <c r="AH28" s="3646"/>
      <c r="AI28" s="3646"/>
      <c r="AJ28" s="3646"/>
      <c r="AK28" s="3646"/>
      <c r="AL28" s="3646"/>
      <c r="AM28" s="3646"/>
      <c r="AN28" s="3646"/>
      <c r="AO28" s="3646"/>
      <c r="AP28" s="3646"/>
      <c r="AQ28" s="3646"/>
      <c r="AR28" s="3646"/>
      <c r="AS28" s="3646"/>
      <c r="AT28" s="3646"/>
      <c r="AU28" s="3646"/>
      <c r="AV28" s="3646"/>
      <c r="AW28" s="3646"/>
      <c r="AX28" s="3646"/>
      <c r="AY28" s="3646"/>
      <c r="AZ28" s="3646"/>
      <c r="BI28" s="3432">
        <v>14</v>
      </c>
    </row>
    <row customHeight="1" ht="14.699999999999998">
      <c r="Q29" s="3898"/>
      <c r="R29" s="3719"/>
      <c r="S29" s="3554" t="str">
        <f>IF(org=0,"Не определено",org)</f>
        <v>ООО "ТеплоЭлектроГенерирующая Компания"</v>
      </c>
      <c r="T29" s="3554"/>
      <c r="U29" s="3554"/>
      <c r="V29" s="3554"/>
      <c r="W29" s="3554"/>
      <c r="X29" s="3554"/>
      <c r="Y29" s="3554"/>
      <c r="Z29" s="3554"/>
      <c r="AA29" s="3554"/>
      <c r="AB29" s="3554"/>
      <c r="AC29" s="3554"/>
      <c r="AD29" s="3554"/>
      <c r="AE29" s="3554"/>
      <c r="AF29" s="3554"/>
      <c r="AG29" s="3554"/>
      <c r="AH29" s="3554"/>
      <c r="AI29" s="3554"/>
      <c r="AJ29" s="3554"/>
      <c r="AK29" s="3554"/>
      <c r="AL29" s="3554"/>
      <c r="AM29" s="3554"/>
      <c r="AN29" s="3554"/>
      <c r="AO29" s="3554"/>
      <c r="AP29" s="3554"/>
      <c r="AQ29" s="3554"/>
      <c r="AR29" s="3554"/>
      <c r="AS29" s="3554"/>
      <c r="AT29" s="3554"/>
      <c r="AU29" s="3554"/>
      <c r="AV29" s="3554"/>
      <c r="AW29" s="3554"/>
      <c r="AX29" s="3554"/>
      <c r="AY29" s="3554"/>
      <c r="AZ29" s="3554"/>
      <c r="BI29" s="3432">
        <v>14</v>
      </c>
    </row>
    <row customHeight="1" ht="14.25" hidden="1">
      <c r="Q30" s="3898"/>
      <c r="R30" s="3719"/>
      <c r="S30" s="3842"/>
      <c r="T30" s="3450"/>
      <c r="U30" s="3450"/>
      <c r="V30" s="3804"/>
      <c r="W30" s="3804"/>
      <c r="X30" s="3804"/>
      <c r="Y30" s="3804"/>
      <c r="Z30" s="3804"/>
      <c r="AA30" s="3804"/>
      <c r="AB30" s="3804"/>
      <c r="AC30" s="3804"/>
      <c r="AD30" s="3804"/>
      <c r="AE30" s="3804"/>
      <c r="AF30" s="3804"/>
      <c r="AG30" s="3804"/>
      <c r="AH30" s="3804"/>
      <c r="AI30" s="3804"/>
      <c r="AJ30" s="3804"/>
      <c r="AK30" s="3804"/>
      <c r="AL30" s="3804"/>
      <c r="AM30" s="3804"/>
      <c r="AN30" s="3804"/>
      <c r="AO30" s="3804"/>
      <c r="AP30" s="3804"/>
      <c r="AQ30" s="3804"/>
      <c r="AR30" s="3804"/>
      <c r="AS30" s="3804"/>
      <c r="AT30" s="3804"/>
      <c r="AU30" s="3804"/>
      <c r="AV30" s="3804"/>
      <c r="AW30" s="3804"/>
      <c r="AX30" s="3804"/>
      <c r="AY30" s="3804"/>
      <c r="AZ30" s="3804"/>
      <c r="BA30" s="3804"/>
      <c r="BI30" s="3432">
        <v>0</v>
      </c>
    </row>
    <row customHeight="1" ht="25.5" hidden="1">
      <c r="S31" s="3843" t="s">
        <v>41</v>
      </c>
      <c r="T31" s="3843"/>
      <c r="U31" s="3844"/>
      <c r="V31" s="3806" t="str">
        <f>IF(TITLE_NAME_OR_PR_CHANGE="",IF(TITLE_NAME_OR_PR="","",TITLE_NAME_OR_PR),TITLE_NAME_OR_PR_CHANGE)</f>
        <v/>
      </c>
      <c r="W31" s="3806"/>
      <c r="X31" s="3806"/>
      <c r="Y31" s="3806"/>
      <c r="Z31" s="3806"/>
      <c r="AA31" s="3806"/>
      <c r="AB31" s="3806"/>
      <c r="AD31" s="3806" t="str">
        <f>IF(TITLE_NAME_OR_PR_CHANGE="",IF(TITLE_NAME_OR_PR="","",TITLE_NAME_OR_PR),TITLE_NAME_OR_PR_CHANGE)</f>
        <v/>
      </c>
      <c r="AE31" s="3806"/>
      <c r="AF31" s="3806"/>
      <c r="AG31" s="3806"/>
      <c r="AH31" s="3806"/>
      <c r="AI31" s="3806"/>
      <c r="AJ31" s="3806"/>
      <c r="AK31" s="3806"/>
      <c r="AL31" s="3806"/>
      <c r="AM31" s="3806"/>
      <c r="AN31" s="3806"/>
      <c r="AO31" s="3806"/>
      <c r="AP31" s="3806"/>
      <c r="AQ31" s="3806"/>
      <c r="AR31" s="3806"/>
      <c r="AS31" s="3806"/>
      <c r="AT31" s="3806"/>
      <c r="AU31" s="3806"/>
      <c r="AV31" s="3806"/>
      <c r="AW31" s="3806"/>
      <c r="AX31" s="3806"/>
      <c r="AY31" s="3806"/>
      <c r="AZ31" s="3806"/>
      <c r="BI31" s="3489">
        <v>0</v>
      </c>
    </row>
    <row customHeight="1" ht="18.75" hidden="1">
      <c r="S32" s="3843" t="s">
        <v>438</v>
      </c>
      <c r="T32" s="3843"/>
      <c r="U32" s="3844"/>
      <c r="V32" s="795" t="str">
        <f>IF(TITLE_DATE_PR_CHANGE="",IF(TITLE_DATE_PR="","",TITLE_DATE_PR),TITLE_DATE_PR_CHANGE)</f>
        <v/>
      </c>
      <c r="W32" s="795"/>
      <c r="X32" s="795"/>
      <c r="Y32" s="795"/>
      <c r="Z32" s="795"/>
      <c r="AA32" s="795"/>
      <c r="AB32" s="795"/>
      <c r="AD32" s="795" t="str">
        <f>IF(TITLE_DATE_PR_CHANGE="",IF(TITLE_DATE_PR="","",TITLE_DATE_PR),TITLE_DATE_PR_CHANGE)</f>
        <v/>
      </c>
      <c r="AE32" s="795"/>
      <c r="AF32" s="795"/>
      <c r="AG32" s="795"/>
      <c r="AH32" s="795"/>
      <c r="AI32" s="795"/>
      <c r="AJ32" s="795"/>
      <c r="AK32" s="795"/>
      <c r="AL32" s="795"/>
      <c r="AM32" s="795"/>
      <c r="AN32" s="795"/>
      <c r="AO32" s="795"/>
      <c r="AP32" s="795"/>
      <c r="AQ32" s="795"/>
      <c r="AR32" s="795"/>
      <c r="AS32" s="795"/>
      <c r="AT32" s="795"/>
      <c r="AU32" s="795"/>
      <c r="AV32" s="795"/>
      <c r="AW32" s="795"/>
      <c r="AX32" s="795"/>
      <c r="AY32" s="795"/>
      <c r="AZ32" s="795"/>
      <c r="BI32" s="3489">
        <v>0</v>
      </c>
    </row>
    <row customHeight="1" ht="18.75" hidden="1">
      <c r="S33" s="3843" t="s">
        <v>439</v>
      </c>
      <c r="T33" s="3843"/>
      <c r="U33" s="3844"/>
      <c r="V33" s="3806" t="str">
        <f>IF(TITLE_NUMBER_PR_CHANGE="",IF(TITLE_NUMBER_PR="","",TITLE_NUMBER_PR),TITLE_NUMBER_PR_CHANGE)</f>
        <v/>
      </c>
      <c r="W33" s="3806"/>
      <c r="X33" s="3806"/>
      <c r="Y33" s="3806"/>
      <c r="Z33" s="3806"/>
      <c r="AA33" s="3806"/>
      <c r="AB33" s="3806"/>
      <c r="AD33" s="3806" t="str">
        <f>IF(TITLE_NUMBER_PR_CHANGE="",IF(TITLE_NUMBER_PR="","",TITLE_NUMBER_PR),TITLE_NUMBER_PR_CHANGE)</f>
        <v/>
      </c>
      <c r="AE33" s="3806"/>
      <c r="AF33" s="3806"/>
      <c r="AG33" s="3806"/>
      <c r="AH33" s="3806"/>
      <c r="AI33" s="3806"/>
      <c r="AJ33" s="3806"/>
      <c r="AK33" s="3806"/>
      <c r="AL33" s="3806"/>
      <c r="AM33" s="3806"/>
      <c r="AN33" s="3806"/>
      <c r="AO33" s="3806"/>
      <c r="AP33" s="3806"/>
      <c r="AQ33" s="3806"/>
      <c r="AR33" s="3806"/>
      <c r="AS33" s="3806"/>
      <c r="AT33" s="3806"/>
      <c r="AU33" s="3806"/>
      <c r="AV33" s="3806"/>
      <c r="AW33" s="3806"/>
      <c r="AX33" s="3806"/>
      <c r="AY33" s="3806"/>
      <c r="AZ33" s="3806"/>
      <c r="BI33" s="3489">
        <v>0</v>
      </c>
    </row>
    <row customHeight="1" ht="18.75" hidden="1">
      <c r="S34" s="3843" t="s">
        <v>42</v>
      </c>
      <c r="T34" s="3843"/>
      <c r="U34" s="3844"/>
      <c r="V34" s="3806" t="str">
        <f>IF(TITLE_IST_PUB_CHANGE="",IF(TITLE_IST_PUB="","",TITLE_IST_PUB),TITLE_IST_PUB_CHANGE)</f>
        <v/>
      </c>
      <c r="W34" s="3806"/>
      <c r="X34" s="3806"/>
      <c r="Y34" s="3806"/>
      <c r="Z34" s="3806"/>
      <c r="AA34" s="3806"/>
      <c r="AB34" s="3806"/>
      <c r="AD34" s="3806" t="str">
        <f>IF(TITLE_IST_PUB_CHANGE="",IF(TITLE_IST_PUB="","",TITLE_IST_PUB),TITLE_IST_PUB_CHANGE)</f>
        <v/>
      </c>
      <c r="AE34" s="3806"/>
      <c r="AF34" s="3806"/>
      <c r="AG34" s="3806"/>
      <c r="AH34" s="3806"/>
      <c r="AI34" s="3806"/>
      <c r="AJ34" s="3806"/>
      <c r="AK34" s="3806"/>
      <c r="AL34" s="3806"/>
      <c r="AM34" s="3806"/>
      <c r="AN34" s="3806"/>
      <c r="AO34" s="3806"/>
      <c r="AP34" s="3806"/>
      <c r="AQ34" s="3806"/>
      <c r="AR34" s="3806"/>
      <c r="AS34" s="3806"/>
      <c r="AT34" s="3806"/>
      <c r="AU34" s="3806"/>
      <c r="AV34" s="3806"/>
      <c r="AW34" s="3806"/>
      <c r="AX34" s="3806"/>
      <c r="AY34" s="3806"/>
      <c r="AZ34" s="3806"/>
      <c r="BI34" s="3489">
        <v>0</v>
      </c>
    </row>
    <row customHeight="1" ht="14.25" hidden="1">
      <c r="Q35" s="3898"/>
      <c r="R35" s="3719"/>
      <c r="S35" s="3842"/>
      <c r="T35" s="3450"/>
      <c r="U35" s="3450"/>
      <c r="V35" s="3804"/>
      <c r="W35" s="3804"/>
      <c r="X35" s="3804"/>
      <c r="Y35" s="3804"/>
      <c r="Z35" s="3804"/>
      <c r="AA35" s="3804"/>
      <c r="AB35" s="3804"/>
      <c r="AC35" s="3804"/>
      <c r="AD35" s="3804"/>
      <c r="AE35" s="3804"/>
      <c r="AF35" s="3804"/>
      <c r="AG35" s="3804"/>
      <c r="AH35" s="3804"/>
      <c r="AI35" s="3804"/>
      <c r="AJ35" s="3804"/>
      <c r="AK35" s="3804"/>
      <c r="AL35" s="3804"/>
      <c r="AM35" s="3804"/>
      <c r="AN35" s="3804"/>
      <c r="AO35" s="3804"/>
      <c r="AP35" s="3804"/>
      <c r="AQ35" s="3804"/>
      <c r="AR35" s="3804"/>
      <c r="AS35" s="3804"/>
      <c r="AT35" s="3804"/>
      <c r="AU35" s="3804"/>
      <c r="AV35" s="3804"/>
      <c r="AW35" s="3804"/>
      <c r="AX35" s="3804"/>
      <c r="AY35" s="3804"/>
      <c r="AZ35" s="3804"/>
      <c r="BA35" s="3804"/>
      <c r="BI35" s="3432">
        <v>0</v>
      </c>
    </row>
    <row customHeight="1" ht="18.75" hidden="1">
      <c r="S36" s="3843" t="s">
        <v>438</v>
      </c>
      <c r="T36" s="3843"/>
      <c r="U36" s="3844"/>
      <c r="V36" s="795" t="str">
        <f>IF(TITLE_DATE_PR_CHANGE="",IF(TITLE_DATE_PR="","",TITLE_DATE_PR),TITLE_DATE_PR_CHANGE)</f>
        <v/>
      </c>
      <c r="W36" s="795"/>
      <c r="X36" s="795"/>
      <c r="Y36" s="795"/>
      <c r="Z36" s="795"/>
      <c r="AA36" s="795"/>
      <c r="AB36" s="795"/>
      <c r="AD36" s="795" t="str">
        <f>IF(TITLE_DATE_PR_CHANGE="",IF(TITLE_DATE_PR="","",TITLE_DATE_PR),TITLE_DATE_PR_CHANGE)</f>
        <v/>
      </c>
      <c r="AE36" s="795"/>
      <c r="AF36" s="795"/>
      <c r="AG36" s="795"/>
      <c r="AH36" s="795"/>
      <c r="AI36" s="795"/>
      <c r="AJ36" s="795"/>
      <c r="AK36" s="795"/>
      <c r="AL36" s="795"/>
      <c r="AM36" s="795"/>
      <c r="AN36" s="795"/>
      <c r="AO36" s="795"/>
      <c r="AP36" s="795"/>
      <c r="AQ36" s="795"/>
      <c r="AR36" s="795"/>
      <c r="AS36" s="795"/>
      <c r="AT36" s="795"/>
      <c r="AU36" s="795"/>
      <c r="AV36" s="795"/>
      <c r="AW36" s="795"/>
      <c r="AX36" s="795"/>
      <c r="AY36" s="795"/>
      <c r="AZ36" s="795"/>
      <c r="BI36" s="3489">
        <v>0</v>
      </c>
    </row>
    <row customHeight="1" ht="18.75" hidden="1">
      <c r="S37" s="3843" t="s">
        <v>439</v>
      </c>
      <c r="T37" s="3843"/>
      <c r="U37" s="3844"/>
      <c r="V37" s="3806" t="str">
        <f>IF(TITLE_NUMBER_PR_CHANGE="",IF(TITLE_NUMBER_PR="","",TITLE_NUMBER_PR),TITLE_NUMBER_PR_CHANGE)</f>
        <v/>
      </c>
      <c r="W37" s="3806"/>
      <c r="X37" s="3806"/>
      <c r="Y37" s="3806"/>
      <c r="Z37" s="3806"/>
      <c r="AA37" s="3806"/>
      <c r="AB37" s="3806"/>
      <c r="AD37" s="3806" t="str">
        <f>IF(TITLE_NUMBER_PR_CHANGE="",IF(TITLE_NUMBER_PR="","",TITLE_NUMBER_PR),TITLE_NUMBER_PR_CHANGE)</f>
        <v/>
      </c>
      <c r="AE37" s="3806"/>
      <c r="AF37" s="3806"/>
      <c r="AG37" s="3806"/>
      <c r="AH37" s="3806"/>
      <c r="AI37" s="3806"/>
      <c r="AJ37" s="3806"/>
      <c r="AK37" s="3806"/>
      <c r="AL37" s="3806"/>
      <c r="AM37" s="3806"/>
      <c r="AN37" s="3806"/>
      <c r="AO37" s="3806"/>
      <c r="AP37" s="3806"/>
      <c r="AQ37" s="3806"/>
      <c r="AR37" s="3806"/>
      <c r="AS37" s="3806"/>
      <c r="AT37" s="3806"/>
      <c r="AU37" s="3806"/>
      <c r="AV37" s="3806"/>
      <c r="AW37" s="3806"/>
      <c r="AX37" s="3806"/>
      <c r="AY37" s="3806"/>
      <c r="AZ37" s="3806"/>
      <c r="BI37" s="3489">
        <v>0</v>
      </c>
    </row>
    <row customHeight="1" ht="0">
      <c r="AC38" s="3473" t="s">
        <v>442</v>
      </c>
      <c r="BA38" s="3473" t="s">
        <v>442</v>
      </c>
      <c r="BI38" s="3489">
        <v>0</v>
      </c>
    </row>
    <row customHeight="1" ht="14.699999999999998">
      <c r="Q39" s="3898"/>
      <c r="R39" s="3719"/>
      <c r="S39" s="3842"/>
      <c r="T39" s="3450"/>
      <c r="U39" s="3845"/>
      <c r="V39" s="3846"/>
      <c r="W39" s="3846"/>
      <c r="X39" s="3846"/>
      <c r="Y39" s="3846"/>
      <c r="Z39" s="3846"/>
      <c r="AA39" s="3846"/>
      <c r="AB39" s="3846"/>
      <c r="AC39" s="3846"/>
      <c r="AD39" s="3846"/>
      <c r="AE39" s="3846"/>
      <c r="AF39" s="3846"/>
      <c r="AG39" s="3846"/>
      <c r="AH39" s="3846"/>
      <c r="AI39" s="3846"/>
      <c r="AJ39" s="3846"/>
      <c r="AK39" s="3846"/>
      <c r="AL39" s="3846"/>
      <c r="AM39" s="3846"/>
      <c r="AN39" s="3846"/>
      <c r="AO39" s="3846"/>
      <c r="AP39" s="3846"/>
      <c r="AQ39" s="3846"/>
      <c r="AR39" s="3846"/>
      <c r="AS39" s="3846"/>
      <c r="AT39" s="3846"/>
      <c r="AU39" s="3846"/>
      <c r="AV39" s="3846"/>
      <c r="AW39" s="3846"/>
      <c r="AX39" s="3846"/>
      <c r="AY39" s="3846"/>
      <c r="AZ39" s="3846"/>
      <c r="BA39" s="3846"/>
      <c r="BI39" s="3432">
        <v>14</v>
      </c>
    </row>
    <row customHeight="1" ht="14.699999999999998">
      <c r="Q40" s="3898"/>
      <c r="R40" s="3719"/>
      <c r="S40" s="3480" t="s">
        <v>315</v>
      </c>
      <c r="T40" s="3480"/>
      <c r="U40" s="3480"/>
      <c r="V40" s="3480"/>
      <c r="W40" s="3480"/>
      <c r="X40" s="3480"/>
      <c r="Y40" s="3480"/>
      <c r="Z40" s="3480"/>
      <c r="AA40" s="3480"/>
      <c r="AB40" s="3480"/>
      <c r="AC40" s="3480"/>
      <c r="AD40" s="3480"/>
      <c r="AE40" s="3480"/>
      <c r="AF40" s="3480"/>
      <c r="AG40" s="3480"/>
      <c r="AH40" s="3480"/>
      <c r="AI40" s="3480"/>
      <c r="AJ40" s="3480"/>
      <c r="AK40" s="3480"/>
      <c r="AL40" s="3480"/>
      <c r="AM40" s="3480"/>
      <c r="AN40" s="3480"/>
      <c r="AO40" s="3480"/>
      <c r="AP40" s="3480"/>
      <c r="AQ40" s="3480"/>
      <c r="AR40" s="3480"/>
      <c r="AS40" s="3480"/>
      <c r="AT40" s="3480"/>
      <c r="AU40" s="3480"/>
      <c r="AV40" s="3480"/>
      <c r="AW40" s="3480"/>
      <c r="AX40" s="3480"/>
      <c r="AY40" s="3480"/>
      <c r="AZ40" s="3480"/>
      <c r="BA40" s="3480"/>
      <c r="BB40" s="3480"/>
      <c r="BC40" s="3480" t="s">
        <v>316</v>
      </c>
      <c r="BI40" s="3432">
        <v>14</v>
      </c>
    </row>
    <row customHeight="1" ht="14.699999999999998">
      <c r="Q41" s="3898"/>
      <c r="R41" s="3719"/>
      <c r="S41" s="3818" t="s">
        <v>86</v>
      </c>
      <c r="T41" s="3579" t="s">
        <v>522</v>
      </c>
      <c r="U41" s="3793"/>
      <c r="V41" s="3847" t="s">
        <v>444</v>
      </c>
      <c r="W41" s="3848"/>
      <c r="X41" s="3848"/>
      <c r="Y41" s="3848"/>
      <c r="Z41" s="3848"/>
      <c r="AA41" s="3848"/>
      <c r="AB41" s="3849"/>
      <c r="AC41" s="3807" t="s">
        <v>445</v>
      </c>
      <c r="AD41" s="3900" t="s">
        <v>523</v>
      </c>
      <c r="AE41" s="3858"/>
      <c r="AF41" s="3858"/>
      <c r="AG41" s="3901"/>
      <c r="AH41" s="3900" t="s">
        <v>524</v>
      </c>
      <c r="AI41" s="3858"/>
      <c r="AJ41" s="3858"/>
      <c r="AK41" s="3901"/>
      <c r="AL41" s="3900" t="s">
        <v>525</v>
      </c>
      <c r="AM41" s="3858"/>
      <c r="AN41" s="3858"/>
      <c r="AO41" s="3901"/>
      <c r="AP41" s="3900" t="s">
        <v>526</v>
      </c>
      <c r="AQ41" s="3858"/>
      <c r="AR41" s="3858"/>
      <c r="AS41" s="3901"/>
      <c r="AT41" s="3847" t="s">
        <v>444</v>
      </c>
      <c r="AU41" s="3848"/>
      <c r="AV41" s="3848"/>
      <c r="AW41" s="3848"/>
      <c r="AX41" s="3848"/>
      <c r="AY41" s="3848"/>
      <c r="AZ41" s="3849"/>
      <c r="BA41" s="3807" t="s">
        <v>445</v>
      </c>
      <c r="BB41" s="868" t="s">
        <v>447</v>
      </c>
      <c r="BC41" s="3480"/>
      <c r="BI41" s="3432">
        <v>14</v>
      </c>
    </row>
    <row customHeight="1" ht="35.699999999999996">
      <c r="Q42" s="3898"/>
      <c r="R42" s="3719"/>
      <c r="S42" s="3818"/>
      <c r="T42" s="3579"/>
      <c r="U42" s="3798"/>
      <c r="V42" s="3555" t="s">
        <v>527</v>
      </c>
      <c r="W42" s="3556"/>
      <c r="X42" s="3555" t="s">
        <v>528</v>
      </c>
      <c r="Y42" s="3556"/>
      <c r="Z42" s="3555" t="s">
        <v>529</v>
      </c>
      <c r="AA42" s="3886"/>
      <c r="AB42" s="3556"/>
      <c r="AC42" s="3851"/>
      <c r="AD42" s="3903"/>
      <c r="AE42" s="3904"/>
      <c r="AF42" s="3904"/>
      <c r="AG42" s="3905"/>
      <c r="AH42" s="3903"/>
      <c r="AI42" s="3904"/>
      <c r="AJ42" s="3904"/>
      <c r="AK42" s="3905"/>
      <c r="AL42" s="3903"/>
      <c r="AM42" s="3904"/>
      <c r="AN42" s="3904"/>
      <c r="AO42" s="3905"/>
      <c r="AP42" s="3903"/>
      <c r="AQ42" s="3904"/>
      <c r="AR42" s="3904"/>
      <c r="AS42" s="3905"/>
      <c r="AT42" s="3555" t="s">
        <v>527</v>
      </c>
      <c r="AU42" s="3556"/>
      <c r="AV42" s="3555" t="s">
        <v>528</v>
      </c>
      <c r="AW42" s="3556"/>
      <c r="AX42" s="3555" t="s">
        <v>529</v>
      </c>
      <c r="AY42" s="3886"/>
      <c r="AZ42" s="3556"/>
      <c r="BA42" s="3851"/>
      <c r="BB42" s="871"/>
      <c r="BC42" s="3480"/>
      <c r="BI42" s="3432">
        <v>34</v>
      </c>
    </row>
    <row customHeight="1" ht="14.699999999999998">
      <c r="Q43" s="3898"/>
      <c r="R43" s="3719"/>
      <c r="S43" s="3818"/>
      <c r="T43" s="3579"/>
      <c r="U43" s="3798"/>
      <c r="V43" s="3561"/>
      <c r="W43" s="3562"/>
      <c r="X43" s="3561"/>
      <c r="Y43" s="3562"/>
      <c r="Z43" s="3561"/>
      <c r="AA43" s="3887"/>
      <c r="AB43" s="3562"/>
      <c r="AC43" s="3851"/>
      <c r="AD43" s="3903"/>
      <c r="AE43" s="3904"/>
      <c r="AF43" s="3904"/>
      <c r="AG43" s="3905"/>
      <c r="AH43" s="3903"/>
      <c r="AI43" s="3904"/>
      <c r="AJ43" s="3904"/>
      <c r="AK43" s="3905"/>
      <c r="AL43" s="3903"/>
      <c r="AM43" s="3904"/>
      <c r="AN43" s="3904"/>
      <c r="AO43" s="3905"/>
      <c r="AP43" s="3903"/>
      <c r="AQ43" s="3904"/>
      <c r="AR43" s="3904"/>
      <c r="AS43" s="3905"/>
      <c r="AT43" s="3561"/>
      <c r="AU43" s="3562"/>
      <c r="AV43" s="3561"/>
      <c r="AW43" s="3562"/>
      <c r="AX43" s="3561"/>
      <c r="AY43" s="3887"/>
      <c r="AZ43" s="3562"/>
      <c r="BA43" s="3851"/>
      <c r="BB43" s="871"/>
      <c r="BC43" s="3480"/>
      <c r="BI43" s="3432">
        <v>14</v>
      </c>
    </row>
    <row customHeight="1" ht="14.699999999999998">
      <c r="B44" s="3511" t="s">
        <v>153</v>
      </c>
      <c r="C44" s="3511" t="s">
        <v>154</v>
      </c>
      <c r="D44" s="3511" t="s">
        <v>155</v>
      </c>
      <c r="E44" s="3830" t="s">
        <v>452</v>
      </c>
      <c r="F44" s="3830" t="s">
        <v>453</v>
      </c>
      <c r="G44" s="3830" t="s">
        <v>454</v>
      </c>
      <c r="H44" s="3830" t="s">
        <v>455</v>
      </c>
      <c r="I44" s="3830" t="s">
        <v>456</v>
      </c>
      <c r="J44" s="3830" t="s">
        <v>457</v>
      </c>
      <c r="K44" s="3830" t="s">
        <v>458</v>
      </c>
      <c r="L44" s="3830" t="s">
        <v>433</v>
      </c>
      <c r="Q44" s="3898"/>
      <c r="R44" s="3719"/>
      <c r="S44" s="3818"/>
      <c r="T44" s="3579"/>
      <c r="U44" s="3852"/>
      <c r="V44" s="3579" t="s">
        <v>493</v>
      </c>
      <c r="W44" s="3579" t="s">
        <v>494</v>
      </c>
      <c r="X44" s="3579" t="s">
        <v>493</v>
      </c>
      <c r="Y44" s="3579" t="s">
        <v>494</v>
      </c>
      <c r="Z44" s="3525" t="s">
        <v>461</v>
      </c>
      <c r="AA44" s="3626" t="s">
        <v>462</v>
      </c>
      <c r="AB44" s="3628"/>
      <c r="AC44" s="3810"/>
      <c r="AD44" s="3909"/>
      <c r="AE44" s="3910"/>
      <c r="AF44" s="3910"/>
      <c r="AG44" s="3911"/>
      <c r="AH44" s="3909"/>
      <c r="AI44" s="3910"/>
      <c r="AJ44" s="3910"/>
      <c r="AK44" s="3911"/>
      <c r="AL44" s="3909"/>
      <c r="AM44" s="3910"/>
      <c r="AN44" s="3910"/>
      <c r="AO44" s="3911"/>
      <c r="AP44" s="3909"/>
      <c r="AQ44" s="3910"/>
      <c r="AR44" s="3910"/>
      <c r="AS44" s="3911"/>
      <c r="AT44" s="3579" t="s">
        <v>493</v>
      </c>
      <c r="AU44" s="3579" t="s">
        <v>494</v>
      </c>
      <c r="AV44" s="3579" t="s">
        <v>493</v>
      </c>
      <c r="AW44" s="3579" t="s">
        <v>494</v>
      </c>
      <c r="AX44" s="3525" t="s">
        <v>461</v>
      </c>
      <c r="AY44" s="3626" t="s">
        <v>462</v>
      </c>
      <c r="AZ44" s="3628"/>
      <c r="BA44" s="3810"/>
      <c r="BB44" s="873"/>
      <c r="BC44" s="3480"/>
      <c r="BI44" s="3432">
        <v>14</v>
      </c>
    </row>
    <row customHeight="1" ht="0">
      <c r="Q45" s="3854"/>
      <c r="R45" s="3854">
        <v>1</v>
      </c>
      <c r="S45" s="876" t="s">
        <v>107</v>
      </c>
      <c r="T45" s="877" t="s">
        <v>108</v>
      </c>
      <c r="U45" s="3855" t="str">
        <f>OFFSET(U45,0,-1)</f>
        <v>2</v>
      </c>
      <c r="V45" s="3856">
        <f>OFFSET(V45,0,-1)+1</f>
        <v>3</v>
      </c>
      <c r="W45" s="3856">
        <f>OFFSET(W45,0,-1)+1</f>
        <v>4</v>
      </c>
      <c r="X45" s="3856">
        <f>OFFSET(X45,0,-1)+1</f>
        <v>5</v>
      </c>
      <c r="Y45" s="3856">
        <f>OFFSET(Y45,0,-1)+1</f>
        <v>6</v>
      </c>
      <c r="Z45" s="3856">
        <f>OFFSET(Z45,0,-1)+1</f>
        <v>7</v>
      </c>
      <c r="AA45" s="3856">
        <f>OFFSET(AA45,0,-1)+1</f>
        <v>8</v>
      </c>
      <c r="AB45" s="3856"/>
      <c r="AC45" s="3856">
        <f>OFFSET(AC45,0,-2)+1</f>
        <v>9</v>
      </c>
      <c r="AD45" s="3856">
        <f>OFFSET(AD45,0,-1)+1</f>
        <v>10</v>
      </c>
      <c r="AE45" s="3856"/>
      <c r="AF45" s="3856"/>
      <c r="AG45" s="3856"/>
      <c r="AH45" s="3856"/>
      <c r="AI45" s="3856"/>
      <c r="AJ45" s="3856"/>
      <c r="AK45" s="3856"/>
      <c r="AL45" s="3856"/>
      <c r="AM45" s="3856"/>
      <c r="AN45" s="3856"/>
      <c r="AO45" s="3856"/>
      <c r="AP45" s="3856"/>
      <c r="AQ45" s="3856"/>
      <c r="AR45" s="3856"/>
      <c r="AS45" s="3856"/>
      <c r="AT45" s="3856"/>
      <c r="AU45" s="3856"/>
      <c r="AV45" s="3856"/>
      <c r="AW45" s="3856">
        <f>OFFSET(AW45,0,-1)+1</f>
        <v>1</v>
      </c>
      <c r="AX45" s="3856">
        <f>OFFSET(AX45,0,-1)+1</f>
        <v>2</v>
      </c>
      <c r="AY45" s="3856">
        <f>OFFSET(AY45,0,-1)+1</f>
        <v>3</v>
      </c>
      <c r="AZ45" s="3856"/>
      <c r="BA45" s="3856">
        <f>OFFSET(BA45,0,-2)+1</f>
        <v>4</v>
      </c>
      <c r="BB45" s="3855">
        <f>OFFSET(BB45,0,-1)</f>
        <v>4</v>
      </c>
      <c r="BC45" s="3856">
        <f>OFFSET(BC45,0,-1)+1</f>
        <v>5</v>
      </c>
      <c r="BI45" s="3637">
        <v>0</v>
      </c>
    </row>
    <row customHeight="1" ht="22.049999999999997">
      <c r="A46" s="3857" t="s">
        <v>276</v>
      </c>
      <c r="E46" s="3817">
        <v>1</v>
      </c>
      <c r="R46" s="816"/>
      <c r="S46" s="3818">
        <f>INDEX(PT_DIFFERENTIATION_NUM_NTAR,MATCH(A46,PT_DIFFERENTIATION_NTAR_ID,0))</f>
        <v>0</v>
      </c>
      <c r="T46" s="3764" t="s">
        <v>141</v>
      </c>
      <c r="U46" s="3819"/>
      <c r="V46" s="3821"/>
      <c r="W46" s="3821"/>
      <c r="X46" s="3821"/>
      <c r="Y46" s="3821"/>
      <c r="Z46" s="3821"/>
      <c r="AA46" s="3821"/>
      <c r="AB46" s="3821"/>
      <c r="AC46" s="3822"/>
      <c r="AD46" s="3820" t="str">
        <f>INDEX(PT_DIFFERENTIATION_NTAR,MATCH(A46,PT_DIFFERENTIATION_NTAR_ID,0))</f>
        <v/>
      </c>
      <c r="AE46" s="3821"/>
      <c r="AF46" s="3821"/>
      <c r="AG46" s="3821"/>
      <c r="AH46" s="3821"/>
      <c r="AI46" s="3821"/>
      <c r="AJ46" s="3821"/>
      <c r="AK46" s="3821"/>
      <c r="AL46" s="3821"/>
      <c r="AM46" s="3821"/>
      <c r="AN46" s="3821"/>
      <c r="AO46" s="3821"/>
      <c r="AP46" s="3821"/>
      <c r="AQ46" s="3821"/>
      <c r="AR46" s="3821"/>
      <c r="AS46" s="3821"/>
      <c r="AT46" s="3821"/>
      <c r="AU46" s="3821"/>
      <c r="AV46" s="3821"/>
      <c r="AW46" s="3821"/>
      <c r="AX46" s="3821"/>
      <c r="AY46" s="3821"/>
      <c r="AZ46" s="3821"/>
      <c r="BA46" s="3821"/>
      <c r="BB46" s="3822"/>
      <c r="BC46" s="38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3479" t="str">
        <f>IF(T46="","",T46)</f>
        <v>Наименование тарифа</v>
      </c>
      <c r="BI46" s="3432">
        <v>21</v>
      </c>
    </row>
    <row customHeight="1" ht="22.049999999999997">
      <c r="A47" s="3857" t="s">
        <v>276</v>
      </c>
      <c r="B47" s="3857" t="s">
        <v>277</v>
      </c>
      <c r="E47" s="3824"/>
      <c r="F47" s="3817">
        <v>1</v>
      </c>
      <c r="Q47" s="3890"/>
      <c r="R47" s="3826"/>
      <c r="S47" s="3818" t="str">
        <f>INDEX(PT_DIFFERENTIATION_NUM_TER,MATCH(B47,PT_DIFFERENTIATION_TER_ID,0))</f>
        <v>.</v>
      </c>
      <c r="T47" s="3827" t="s">
        <v>412</v>
      </c>
      <c r="U47" s="3819"/>
      <c r="V47" s="3821"/>
      <c r="W47" s="3821"/>
      <c r="X47" s="3821"/>
      <c r="Y47" s="3821"/>
      <c r="Z47" s="3821"/>
      <c r="AA47" s="3821"/>
      <c r="AB47" s="3821"/>
      <c r="AC47" s="3822"/>
      <c r="AD47" s="3820" t="str">
        <f>INDEX(PT_DIFFERENTIATION_TER,MATCH(B47,PT_DIFFERENTIATION_TER_ID,0))</f>
        <v/>
      </c>
      <c r="AE47" s="3821"/>
      <c r="AF47" s="3821"/>
      <c r="AG47" s="3821"/>
      <c r="AH47" s="3821"/>
      <c r="AI47" s="3821"/>
      <c r="AJ47" s="3821"/>
      <c r="AK47" s="3821"/>
      <c r="AL47" s="3821"/>
      <c r="AM47" s="3821"/>
      <c r="AN47" s="3821"/>
      <c r="AO47" s="3821"/>
      <c r="AP47" s="3821"/>
      <c r="AQ47" s="3821"/>
      <c r="AR47" s="3821"/>
      <c r="AS47" s="3821"/>
      <c r="AT47" s="3821"/>
      <c r="AU47" s="3821"/>
      <c r="AV47" s="3821"/>
      <c r="AW47" s="3821"/>
      <c r="AX47" s="3821"/>
      <c r="AY47" s="3821"/>
      <c r="AZ47" s="3821"/>
      <c r="BA47" s="3821"/>
      <c r="BB47" s="3822"/>
      <c r="BC47" s="3823" t="s">
        <v>413</v>
      </c>
      <c r="BF47" s="3479" t="str">
        <f>IF(T47="","",T47)</f>
        <v>Территория действия тарифа</v>
      </c>
      <c r="BI47" s="3432">
        <v>21</v>
      </c>
    </row>
    <row customHeight="1" ht="35.699999999999996">
      <c r="A48" s="3857" t="s">
        <v>276</v>
      </c>
      <c r="B48" s="3857" t="s">
        <v>277</v>
      </c>
      <c r="C48" s="3857" t="s">
        <v>278</v>
      </c>
      <c r="E48" s="3824"/>
      <c r="F48" s="3824"/>
      <c r="G48" s="3817">
        <v>1</v>
      </c>
      <c r="Q48" s="3890"/>
      <c r="R48" s="3826"/>
      <c r="S48" s="3818" t="str">
        <f>INDEX(PT_DIFFERENTIATION_NUM_CS,MATCH(C48,PT_DIFFERENTIATION_CS_ID,0))</f>
        <v>..</v>
      </c>
      <c r="T48" s="3828" t="s">
        <v>545</v>
      </c>
      <c r="U48" s="3819"/>
      <c r="V48" s="3821"/>
      <c r="W48" s="3821"/>
      <c r="X48" s="3821"/>
      <c r="Y48" s="3821"/>
      <c r="Z48" s="3821"/>
      <c r="AA48" s="3821"/>
      <c r="AB48" s="3821"/>
      <c r="AC48" s="3822"/>
      <c r="AD48" s="3820" t="str">
        <f>INDEX(PT_DIFFERENTIATION_CS,MATCH(C48,PT_DIFFERENTIATION_CS_ID,0))</f>
        <v/>
      </c>
      <c r="AE48" s="3821"/>
      <c r="AF48" s="3821"/>
      <c r="AG48" s="3821"/>
      <c r="AH48" s="3821"/>
      <c r="AI48" s="3821"/>
      <c r="AJ48" s="3821"/>
      <c r="AK48" s="3821"/>
      <c r="AL48" s="3821"/>
      <c r="AM48" s="3821"/>
      <c r="AN48" s="3821"/>
      <c r="AO48" s="3821"/>
      <c r="AP48" s="3821"/>
      <c r="AQ48" s="3821"/>
      <c r="AR48" s="3821"/>
      <c r="AS48" s="3821"/>
      <c r="AT48" s="3821"/>
      <c r="AU48" s="3821"/>
      <c r="AV48" s="3821"/>
      <c r="AW48" s="3821"/>
      <c r="AX48" s="3821"/>
      <c r="AY48" s="3821"/>
      <c r="AZ48" s="3821"/>
      <c r="BA48" s="3821"/>
      <c r="BB48" s="3822"/>
      <c r="BC48" s="3823" t="s">
        <v>546</v>
      </c>
      <c r="BF48" s="3479" t="str">
        <f>IF(T48="","",T48)</f>
        <v>Наименование централизованной системы горячего водоснабжения</v>
      </c>
      <c r="BI48" s="3432">
        <v>34</v>
      </c>
    </row>
    <row customHeight="1" ht="0">
      <c r="A49" s="3470" t="s">
        <v>276</v>
      </c>
      <c r="B49" s="3470" t="s">
        <v>277</v>
      </c>
      <c r="C49" s="3470" t="s">
        <v>278</v>
      </c>
      <c r="D49" s="3470" t="s">
        <v>559</v>
      </c>
      <c r="E49" s="3824"/>
      <c r="F49" s="3824"/>
      <c r="G49" s="3824"/>
      <c r="H49" s="3817">
        <v>1</v>
      </c>
      <c r="Q49" s="3942"/>
      <c r="R49" s="3836"/>
      <c r="S49" s="3582"/>
      <c r="T49" s="3943"/>
      <c r="U49" s="3861"/>
      <c r="V49" s="3863"/>
      <c r="W49" s="3863"/>
      <c r="X49" s="3863"/>
      <c r="Y49" s="3863"/>
      <c r="Z49" s="3863"/>
      <c r="AA49" s="3863"/>
      <c r="AB49" s="3863"/>
      <c r="AC49" s="3864"/>
      <c r="AD49" s="3862"/>
      <c r="AE49" s="3863"/>
      <c r="AF49" s="3863"/>
      <c r="AG49" s="3863"/>
      <c r="AH49" s="3863"/>
      <c r="AI49" s="3863"/>
      <c r="AJ49" s="3863"/>
      <c r="AK49" s="3863"/>
      <c r="AL49" s="3863"/>
      <c r="AM49" s="3863"/>
      <c r="AN49" s="3863"/>
      <c r="AO49" s="3863"/>
      <c r="AP49" s="3863"/>
      <c r="AQ49" s="3863"/>
      <c r="AR49" s="3863"/>
      <c r="AS49" s="3863"/>
      <c r="AT49" s="3863"/>
      <c r="AU49" s="3863"/>
      <c r="AV49" s="3863"/>
      <c r="AW49" s="3863"/>
      <c r="AX49" s="3863"/>
      <c r="AY49" s="3863"/>
      <c r="AZ49" s="3863"/>
      <c r="BA49" s="3863"/>
      <c r="BB49" s="3864"/>
      <c r="BC49" s="3865" t="s">
        <v>417</v>
      </c>
      <c r="BF49" s="3479" t="str">
        <f>IF(T49="","",T49)</f>
        <v/>
      </c>
      <c r="BI49" s="3473">
        <v>0</v>
      </c>
    </row>
    <row customHeight="1" ht="0">
      <c r="A50" s="3470" t="s">
        <v>276</v>
      </c>
      <c r="B50" s="3470" t="s">
        <v>277</v>
      </c>
      <c r="C50" s="3470" t="s">
        <v>278</v>
      </c>
      <c r="D50" s="3470" t="s">
        <v>559</v>
      </c>
      <c r="E50" s="3824"/>
      <c r="F50" s="3824"/>
      <c r="G50" s="3824"/>
      <c r="H50" s="3824"/>
      <c r="I50" s="3711" t="str">
        <f>S49&amp;".1"</f>
        <v>.1</v>
      </c>
      <c r="L50" s="3866" t="s">
        <v>418</v>
      </c>
      <c r="P50" s="3471">
        <v>1</v>
      </c>
      <c r="R50" s="3831"/>
      <c r="S50" s="3582"/>
      <c r="T50" s="3860"/>
      <c r="U50" s="3861"/>
      <c r="V50" s="3863"/>
      <c r="W50" s="3863"/>
      <c r="X50" s="3863"/>
      <c r="Y50" s="3863"/>
      <c r="Z50" s="3863"/>
      <c r="AA50" s="3863"/>
      <c r="AB50" s="3863"/>
      <c r="AC50" s="3864"/>
      <c r="AD50" s="3862"/>
      <c r="AE50" s="3863"/>
      <c r="AF50" s="3863"/>
      <c r="AG50" s="3863"/>
      <c r="AH50" s="3863"/>
      <c r="AI50" s="3863"/>
      <c r="AJ50" s="3863"/>
      <c r="AK50" s="3863"/>
      <c r="AL50" s="3863"/>
      <c r="AM50" s="3863"/>
      <c r="AN50" s="3863"/>
      <c r="AO50" s="3863"/>
      <c r="AP50" s="3863"/>
      <c r="AQ50" s="3863"/>
      <c r="AR50" s="3863"/>
      <c r="AS50" s="3863"/>
      <c r="AT50" s="3863"/>
      <c r="AU50" s="3863"/>
      <c r="AV50" s="3863"/>
      <c r="AW50" s="3863"/>
      <c r="AX50" s="3863"/>
      <c r="AY50" s="3863"/>
      <c r="AZ50" s="3863"/>
      <c r="BA50" s="3863"/>
      <c r="BB50" s="3864"/>
      <c r="BC50" s="3865"/>
      <c r="BF50" s="3479" t="str">
        <f>IF(T50="","",T50)</f>
        <v/>
      </c>
      <c r="BI50" s="3473">
        <v>0</v>
      </c>
    </row>
    <row customHeight="1" ht="0">
      <c r="A51" s="3470" t="s">
        <v>276</v>
      </c>
      <c r="B51" s="3470" t="s">
        <v>277</v>
      </c>
      <c r="C51" s="3470" t="s">
        <v>278</v>
      </c>
      <c r="D51" s="3470" t="s">
        <v>559</v>
      </c>
      <c r="E51" s="3824"/>
      <c r="F51" s="3824"/>
      <c r="G51" s="3824"/>
      <c r="H51" s="3824"/>
      <c r="I51" s="3835"/>
      <c r="J51" s="3711" t="str">
        <f>S49&amp;".1"</f>
        <v>.1</v>
      </c>
      <c r="Q51" s="3471">
        <v>1</v>
      </c>
      <c r="R51" s="3836"/>
      <c r="S51" s="3582"/>
      <c r="T51" s="3891"/>
      <c r="U51" s="3861"/>
      <c r="V51" s="3863"/>
      <c r="W51" s="3863"/>
      <c r="X51" s="3863"/>
      <c r="Y51" s="3863"/>
      <c r="Z51" s="3863"/>
      <c r="AA51" s="3863"/>
      <c r="AB51" s="3863"/>
      <c r="AC51" s="3864"/>
      <c r="AD51" s="3862"/>
      <c r="AE51" s="3863"/>
      <c r="AF51" s="3863"/>
      <c r="AG51" s="3863"/>
      <c r="AH51" s="3863"/>
      <c r="AI51" s="3863"/>
      <c r="AJ51" s="3863"/>
      <c r="AK51" s="3863"/>
      <c r="AL51" s="3863"/>
      <c r="AM51" s="3863"/>
      <c r="AN51" s="3944"/>
      <c r="AO51" s="3944"/>
      <c r="AP51" s="3863"/>
      <c r="AQ51" s="3863"/>
      <c r="AR51" s="3863"/>
      <c r="AS51" s="3863"/>
      <c r="AT51" s="3863"/>
      <c r="AU51" s="3863"/>
      <c r="AV51" s="3863"/>
      <c r="AW51" s="3863"/>
      <c r="AX51" s="3863"/>
      <c r="AY51" s="3863"/>
      <c r="AZ51" s="3863"/>
      <c r="BA51" s="3863"/>
      <c r="BB51" s="3864"/>
      <c r="BC51" s="3865"/>
      <c r="BF51" s="3479" t="str">
        <f>IF(T51="","",T51)</f>
        <v/>
      </c>
      <c r="BI51" s="3473">
        <v>0</v>
      </c>
    </row>
    <row customHeight="1" ht="11.549999999999999">
      <c r="A52" s="3857" t="s">
        <v>276</v>
      </c>
      <c r="B52" s="3857" t="s">
        <v>277</v>
      </c>
      <c r="C52" s="3857" t="s">
        <v>278</v>
      </c>
      <c r="D52" s="3857" t="s">
        <v>559</v>
      </c>
      <c r="E52" s="3824"/>
      <c r="F52" s="3824"/>
      <c r="G52" s="3824"/>
      <c r="H52" s="3824"/>
      <c r="I52" s="3835"/>
      <c r="J52" s="3835"/>
      <c r="K52" s="3711" t="str">
        <f>S48&amp;".1"</f>
        <v>...1</v>
      </c>
      <c r="R52" s="3836">
        <v>1</v>
      </c>
      <c r="S52" s="3867" t="str">
        <f>$K52</f>
        <v>...1</v>
      </c>
      <c r="T52" s="986"/>
      <c r="U52" s="3819"/>
      <c r="V52" s="838"/>
      <c r="W52" s="840"/>
      <c r="X52" s="838"/>
      <c r="Y52" s="840"/>
      <c r="Z52" s="572"/>
      <c r="AA52" s="210" t="s">
        <v>61</v>
      </c>
      <c r="AB52" s="572"/>
      <c r="AC52" s="210" t="s">
        <v>61</v>
      </c>
      <c r="AD52" s="289" t="s">
        <v>61</v>
      </c>
      <c r="AE52" s="3893"/>
      <c r="AF52" s="314">
        <v>1</v>
      </c>
      <c r="AG52" s="987"/>
      <c r="AH52" s="210" t="s">
        <v>61</v>
      </c>
      <c r="AI52" s="3893"/>
      <c r="AJ52" s="314">
        <v>1</v>
      </c>
      <c r="AK52" s="97" t="s">
        <v>22</v>
      </c>
      <c r="AL52" s="210" t="s">
        <v>61</v>
      </c>
      <c r="AM52" s="3555"/>
      <c r="AN52" s="314">
        <v>1</v>
      </c>
      <c r="AO52" s="1039"/>
      <c r="AP52" s="1040" t="s">
        <v>61</v>
      </c>
      <c r="AQ52" s="3894"/>
      <c r="AR52" s="314">
        <v>1</v>
      </c>
      <c r="AS52" s="107" t="s">
        <v>22</v>
      </c>
      <c r="AT52" s="838"/>
      <c r="AU52" s="840"/>
      <c r="AV52" s="838"/>
      <c r="AW52" s="840"/>
      <c r="AX52" s="572"/>
      <c r="AY52" s="210" t="s">
        <v>61</v>
      </c>
      <c r="AZ52" s="572"/>
      <c r="BA52" s="210" t="s">
        <v>61</v>
      </c>
      <c r="BB52" s="882"/>
      <c r="BC52" s="3839" t="s">
        <v>516</v>
      </c>
      <c r="BF52" s="3479" t="str">
        <f>IF(T52="","",T52)</f>
        <v/>
      </c>
      <c r="BI52" s="3432">
        <v>11</v>
      </c>
    </row>
    <row customHeight="1" ht="11.549999999999999">
      <c r="E53" s="3824"/>
      <c r="F53" s="3824"/>
      <c r="G53" s="3824"/>
      <c r="H53" s="3824"/>
      <c r="I53" s="3835"/>
      <c r="J53" s="3835"/>
      <c r="K53" s="3711"/>
      <c r="R53" s="3836"/>
      <c r="S53" s="3895"/>
      <c r="T53" s="1041"/>
      <c r="U53" s="3819"/>
      <c r="V53" s="925"/>
      <c r="W53" s="943"/>
      <c r="X53" s="925"/>
      <c r="Y53" s="943"/>
      <c r="Z53" s="925"/>
      <c r="AA53" s="925"/>
      <c r="AB53" s="925"/>
      <c r="AC53" s="925"/>
      <c r="AD53" s="295"/>
      <c r="AE53" s="3893"/>
      <c r="AF53" s="314"/>
      <c r="AG53" s="987"/>
      <c r="AH53" s="210"/>
      <c r="AI53" s="3893"/>
      <c r="AJ53" s="314"/>
      <c r="AK53" s="97"/>
      <c r="AL53" s="210"/>
      <c r="AM53" s="3561"/>
      <c r="AN53" s="314"/>
      <c r="AO53" s="1039"/>
      <c r="AP53" s="1042"/>
      <c r="AQ53" s="697"/>
      <c r="AR53" s="172"/>
      <c r="AS53" s="172" t="s">
        <v>517</v>
      </c>
      <c r="AT53" s="925"/>
      <c r="AU53" s="943"/>
      <c r="AV53" s="925"/>
      <c r="AW53" s="943"/>
      <c r="AX53" s="925"/>
      <c r="AY53" s="925"/>
      <c r="AZ53" s="925"/>
      <c r="BA53" s="925"/>
      <c r="BB53" s="942"/>
      <c r="BC53" s="3840"/>
      <c r="BI53" s="3432">
        <v>11</v>
      </c>
    </row>
    <row customHeight="1" ht="11.549999999999999">
      <c r="A54" s="3857" t="s">
        <v>276</v>
      </c>
      <c r="E54" s="3824"/>
      <c r="F54" s="3824"/>
      <c r="G54" s="3824"/>
      <c r="H54" s="3824"/>
      <c r="I54" s="3835"/>
      <c r="J54" s="3835"/>
      <c r="K54" s="3711"/>
      <c r="R54" s="3836"/>
      <c r="S54" s="3895"/>
      <c r="T54" s="1041"/>
      <c r="U54" s="3819"/>
      <c r="V54" s="925"/>
      <c r="W54" s="943"/>
      <c r="X54" s="925"/>
      <c r="Y54" s="943"/>
      <c r="Z54" s="925"/>
      <c r="AA54" s="925"/>
      <c r="AB54" s="925"/>
      <c r="AC54" s="925"/>
      <c r="AD54" s="295"/>
      <c r="AE54" s="3893"/>
      <c r="AF54" s="314"/>
      <c r="AG54" s="987"/>
      <c r="AH54" s="210"/>
      <c r="AI54" s="3893"/>
      <c r="AJ54" s="314"/>
      <c r="AK54" s="97"/>
      <c r="AL54" s="210"/>
      <c r="AM54" s="697"/>
      <c r="AN54" s="791"/>
      <c r="AO54" s="791" t="s">
        <v>518</v>
      </c>
      <c r="AP54" s="172"/>
      <c r="AQ54" s="172"/>
      <c r="AR54" s="172"/>
      <c r="AS54" s="925"/>
      <c r="AT54" s="925"/>
      <c r="AU54" s="943"/>
      <c r="AV54" s="925"/>
      <c r="AW54" s="943"/>
      <c r="AX54" s="925"/>
      <c r="AY54" s="925"/>
      <c r="AZ54" s="925"/>
      <c r="BA54" s="925"/>
      <c r="BB54" s="942"/>
      <c r="BC54" s="3840"/>
      <c r="BI54" s="3432">
        <v>11</v>
      </c>
    </row>
    <row customHeight="1" ht="11.549999999999999">
      <c r="A55" s="3857" t="s">
        <v>276</v>
      </c>
      <c r="E55" s="3824"/>
      <c r="F55" s="3824"/>
      <c r="G55" s="3824"/>
      <c r="H55" s="3824"/>
      <c r="I55" s="3835"/>
      <c r="J55" s="3835"/>
      <c r="K55" s="3711"/>
      <c r="R55" s="3836"/>
      <c r="S55" s="3895"/>
      <c r="T55" s="1041"/>
      <c r="U55" s="3819"/>
      <c r="V55" s="925"/>
      <c r="W55" s="943"/>
      <c r="X55" s="925"/>
      <c r="Y55" s="943"/>
      <c r="Z55" s="925"/>
      <c r="AA55" s="925"/>
      <c r="AB55" s="925"/>
      <c r="AC55" s="925"/>
      <c r="AD55" s="295"/>
      <c r="AE55" s="3893"/>
      <c r="AF55" s="314"/>
      <c r="AG55" s="987"/>
      <c r="AH55" s="210"/>
      <c r="AI55" s="945"/>
      <c r="AJ55" s="167"/>
      <c r="AK55" s="406" t="s">
        <v>519</v>
      </c>
      <c r="AL55" s="925"/>
      <c r="AM55" s="925"/>
      <c r="AN55" s="925"/>
      <c r="AO55" s="925"/>
      <c r="AP55" s="925"/>
      <c r="AQ55" s="925"/>
      <c r="AR55" s="925"/>
      <c r="AS55" s="925"/>
      <c r="AT55" s="925"/>
      <c r="AU55" s="943"/>
      <c r="AV55" s="925"/>
      <c r="AW55" s="943"/>
      <c r="AX55" s="925"/>
      <c r="AY55" s="925"/>
      <c r="AZ55" s="925"/>
      <c r="BA55" s="925"/>
      <c r="BB55" s="942"/>
      <c r="BC55" s="3840"/>
      <c r="BI55" s="3432">
        <v>11</v>
      </c>
    </row>
    <row customHeight="1" ht="11.549999999999999">
      <c r="A56" s="3857" t="s">
        <v>276</v>
      </c>
      <c r="B56" s="3857" t="s">
        <v>277</v>
      </c>
      <c r="C56" s="3857" t="s">
        <v>278</v>
      </c>
      <c r="D56" s="3857" t="s">
        <v>559</v>
      </c>
      <c r="E56" s="3824"/>
      <c r="F56" s="3824"/>
      <c r="G56" s="3824"/>
      <c r="H56" s="3824"/>
      <c r="I56" s="3835"/>
      <c r="J56" s="3835"/>
      <c r="K56" s="3711"/>
      <c r="R56" s="3836"/>
      <c r="S56" s="3876"/>
      <c r="T56" s="1043"/>
      <c r="U56" s="3819"/>
      <c r="V56" s="925"/>
      <c r="W56" s="926" t="str">
        <f>Z52&amp;"-"&amp;AB52</f>
        <v>-</v>
      </c>
      <c r="X56" s="925"/>
      <c r="Y56" s="926" t="str">
        <f>AB52&amp;"-"&amp;AD52</f>
        <v>-да</v>
      </c>
      <c r="Z56" s="925"/>
      <c r="AA56" s="925"/>
      <c r="AB56" s="925"/>
      <c r="AC56" s="925"/>
      <c r="AD56" s="206"/>
      <c r="AE56" s="948"/>
      <c r="AF56" s="949"/>
      <c r="AG56" s="172" t="s">
        <v>520</v>
      </c>
      <c r="AH56" s="925"/>
      <c r="AI56" s="925"/>
      <c r="AJ56" s="925"/>
      <c r="AK56" s="925"/>
      <c r="AL56" s="925"/>
      <c r="AM56" s="925"/>
      <c r="AN56" s="925"/>
      <c r="AO56" s="925"/>
      <c r="AP56" s="925"/>
      <c r="AQ56" s="925"/>
      <c r="AR56" s="925"/>
      <c r="AS56" s="925"/>
      <c r="AT56" s="925"/>
      <c r="AU56" s="926" t="str">
        <f>AX52&amp;"-"&amp;AZ52</f>
        <v>-</v>
      </c>
      <c r="AV56" s="925"/>
      <c r="AW56" s="926" t="str">
        <f>AZ52&amp;"-"&amp;BB52</f>
        <v>-</v>
      </c>
      <c r="AX56" s="925"/>
      <c r="AY56" s="925"/>
      <c r="AZ56" s="925"/>
      <c r="BA56" s="925"/>
      <c r="BB56" s="947" t="str">
        <f>BE52&amp;"-"&amp;BG52</f>
        <v>-</v>
      </c>
      <c r="BC56" s="3840"/>
      <c r="BF56" s="3479" t="str">
        <f>IF(T56="","",T56)</f>
        <v/>
      </c>
      <c r="BI56" s="3432">
        <v>11</v>
      </c>
    </row>
    <row customHeight="1" ht="11.549999999999999">
      <c r="A57" s="3857" t="s">
        <v>276</v>
      </c>
      <c r="B57" s="3857" t="s">
        <v>277</v>
      </c>
      <c r="C57" s="3857" t="s">
        <v>278</v>
      </c>
      <c r="D57" s="3857" t="s">
        <v>559</v>
      </c>
      <c r="E57" s="3824"/>
      <c r="F57" s="3824"/>
      <c r="G57" s="3824"/>
      <c r="H57" s="3824"/>
      <c r="I57" s="3835"/>
      <c r="J57" s="3711"/>
      <c r="R57" s="3831"/>
      <c r="S57" s="844"/>
      <c r="T57" s="848" t="s">
        <v>483</v>
      </c>
      <c r="U57" s="200"/>
      <c r="V57" s="200"/>
      <c r="W57" s="200"/>
      <c r="X57" s="200"/>
      <c r="Y57" s="200"/>
      <c r="Z57" s="200"/>
      <c r="AA57" s="200"/>
      <c r="AB57" s="200"/>
      <c r="AC57" s="846"/>
      <c r="AD57" s="971"/>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846"/>
      <c r="BC57" s="3841"/>
      <c r="BF57" s="3479" t="str">
        <f>IF(T57="","",T57)</f>
        <v>Добавить строку</v>
      </c>
      <c r="BI57" s="3432">
        <v>11</v>
      </c>
    </row>
    <row customHeight="1" ht="0">
      <c r="A58" s="3470" t="s">
        <v>276</v>
      </c>
      <c r="B58" s="3470" t="s">
        <v>277</v>
      </c>
      <c r="C58" s="3470" t="s">
        <v>278</v>
      </c>
      <c r="D58" s="3470" t="s">
        <v>559</v>
      </c>
      <c r="E58" s="3824"/>
      <c r="F58" s="3824"/>
      <c r="G58" s="3824"/>
      <c r="H58" s="3824"/>
      <c r="I58" s="3711"/>
      <c r="R58" s="3831"/>
      <c r="S58" s="894"/>
      <c r="T58" s="895"/>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7"/>
      <c r="BF58" s="3479" t="str">
        <f>IF(T58="","",T58)</f>
        <v/>
      </c>
      <c r="BI58" s="3473">
        <v>0</v>
      </c>
    </row>
    <row customHeight="1" ht="0">
      <c r="A59" s="3470" t="s">
        <v>276</v>
      </c>
      <c r="B59" s="3470" t="s">
        <v>277</v>
      </c>
      <c r="C59" s="3470" t="s">
        <v>278</v>
      </c>
      <c r="D59" s="3470" t="s">
        <v>559</v>
      </c>
      <c r="E59" s="3824"/>
      <c r="F59" s="3824"/>
      <c r="G59" s="3824"/>
      <c r="H59" s="3817"/>
      <c r="R59" s="950"/>
      <c r="S59" s="894"/>
      <c r="T59" s="895"/>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BB59" s="896"/>
      <c r="BC59" s="897"/>
      <c r="BF59" s="3479" t="str">
        <f>IF(T59="","",T59)</f>
        <v/>
      </c>
      <c r="BI59" s="3473">
        <v>0</v>
      </c>
    </row>
    <row customHeight="1" ht="0">
      <c r="A60" s="3470" t="s">
        <v>276</v>
      </c>
      <c r="B60" s="3470" t="s">
        <v>277</v>
      </c>
      <c r="C60" s="3470" t="s">
        <v>278</v>
      </c>
      <c r="E60" s="3824"/>
      <c r="F60" s="3824"/>
      <c r="G60" s="3817"/>
      <c r="BF60" s="3479" t="str">
        <f>IF(T60="","",T60)</f>
        <v/>
      </c>
      <c r="BI60" s="3473">
        <v>0</v>
      </c>
    </row>
    <row customHeight="1" ht="0">
      <c r="A61" s="3470" t="s">
        <v>276</v>
      </c>
      <c r="B61" s="3470" t="s">
        <v>277</v>
      </c>
      <c r="E61" s="3824"/>
      <c r="F61" s="3817"/>
      <c r="T61" s="856" t="s">
        <v>430</v>
      </c>
      <c r="BF61" s="3479" t="str">
        <f>IF(T61="","",T61)</f>
        <v>Добавить централизованную систему для дифференциации</v>
      </c>
      <c r="BI61" s="3473">
        <v>0</v>
      </c>
    </row>
    <row customHeight="1" ht="0">
      <c r="A62" s="3470" t="s">
        <v>276</v>
      </c>
      <c r="E62" s="3817"/>
      <c r="T62" s="856" t="s">
        <v>431</v>
      </c>
      <c r="BF62" s="3479" t="str">
        <f>IF(T62="","",T62)</f>
        <v>Добавить территорию для дифференциации</v>
      </c>
      <c r="BI62" s="3473">
        <v>0</v>
      </c>
    </row>
    <row customHeight="1" ht="0">
      <c r="T63" s="856" t="s">
        <v>463</v>
      </c>
      <c r="BF63" s="3479" t="str">
        <f>IF(T63="","",T63)</f>
        <v>Добавить наименование тарифа</v>
      </c>
      <c r="BI63" s="3473">
        <v>0</v>
      </c>
    </row>
    <row customHeight="1" ht="11.549999999999999">
      <c r="BI64" s="3432">
        <v>11</v>
      </c>
    </row>
    <row customHeight="1" ht="19.95">
      <c r="BI65" s="3432">
        <v>19</v>
      </c>
    </row>
    <row customHeight="1" ht="14.699999999999998">
      <c r="BI66" s="3432">
        <v>14</v>
      </c>
    </row>
    <row customHeight="1" ht="19.95">
      <c r="BI67" s="3432">
        <v>19</v>
      </c>
    </row>
    <row customHeight="1" ht="14.699999999999998">
      <c r="BI68" s="3432">
        <v>14</v>
      </c>
    </row>
    <row customHeight="1" ht="14.25" hidden="1">
      <c r="A69" s="3449" t="s">
        <v>80</v>
      </c>
      <c r="B69" s="3449">
        <v>0</v>
      </c>
      <c r="C69" s="3449">
        <v>0</v>
      </c>
      <c r="D69" s="3449">
        <v>0</v>
      </c>
      <c r="E69" s="3449">
        <v>0</v>
      </c>
      <c r="F69" s="3449">
        <v>0</v>
      </c>
      <c r="G69" s="3449">
        <v>0</v>
      </c>
      <c r="H69" s="3449">
        <v>0</v>
      </c>
      <c r="I69" s="3449">
        <v>0</v>
      </c>
      <c r="J69" s="3449">
        <v>0</v>
      </c>
      <c r="K69" s="3449">
        <v>0</v>
      </c>
      <c r="L69" s="3618">
        <v>0</v>
      </c>
      <c r="M69" s="105">
        <v>0</v>
      </c>
      <c r="N69" s="105">
        <v>0</v>
      </c>
      <c r="O69" s="105">
        <v>0</v>
      </c>
      <c r="P69" s="105">
        <v>0</v>
      </c>
      <c r="Q69" s="3913">
        <v>0</v>
      </c>
      <c r="R69" s="3797">
        <v>3</v>
      </c>
      <c r="S69" s="3447">
        <v>12</v>
      </c>
      <c r="T69" s="3432">
        <v>31</v>
      </c>
      <c r="U69" s="3432">
        <v>0</v>
      </c>
      <c r="V69" s="3432">
        <v>0</v>
      </c>
      <c r="W69" s="3432">
        <v>0</v>
      </c>
      <c r="X69" s="3432">
        <v>0</v>
      </c>
      <c r="Y69" s="3432">
        <v>0</v>
      </c>
      <c r="Z69" s="3432">
        <v>0</v>
      </c>
      <c r="AA69" s="3432">
        <v>0</v>
      </c>
      <c r="AB69" s="3432">
        <v>0</v>
      </c>
      <c r="AC69" s="3432">
        <v>0</v>
      </c>
      <c r="AD69" s="3432">
        <v>3</v>
      </c>
      <c r="AE69" s="3432">
        <v>3</v>
      </c>
      <c r="AF69" s="3432">
        <v>3</v>
      </c>
      <c r="AG69" s="3432">
        <v>24</v>
      </c>
      <c r="AH69" s="3432">
        <v>3</v>
      </c>
      <c r="AI69" s="3432">
        <v>3</v>
      </c>
      <c r="AJ69" s="3432">
        <v>3</v>
      </c>
      <c r="AK69" s="3432">
        <v>24</v>
      </c>
      <c r="AL69" s="3432">
        <v>3</v>
      </c>
      <c r="AM69" s="3432">
        <v>3</v>
      </c>
      <c r="AN69" s="3432">
        <v>3</v>
      </c>
      <c r="AO69" s="3432">
        <v>18</v>
      </c>
      <c r="AP69" s="3432">
        <v>3</v>
      </c>
      <c r="AQ69" s="3432">
        <v>3</v>
      </c>
      <c r="AR69" s="3432">
        <v>3</v>
      </c>
      <c r="AS69" s="3432">
        <v>18</v>
      </c>
      <c r="AT69" s="3432">
        <v>21</v>
      </c>
      <c r="AU69" s="3432">
        <v>21</v>
      </c>
      <c r="AV69" s="3432">
        <v>21</v>
      </c>
      <c r="AW69" s="3432">
        <v>21</v>
      </c>
      <c r="AX69" s="3432">
        <v>11</v>
      </c>
      <c r="AY69" s="3432">
        <v>3</v>
      </c>
      <c r="AZ69" s="3432">
        <v>11</v>
      </c>
      <c r="BA69" s="3432">
        <v>0</v>
      </c>
      <c r="BB69" s="3432">
        <v>4</v>
      </c>
      <c r="BC69" s="3432">
        <v>115</v>
      </c>
      <c r="BD69" s="3473">
        <v>10</v>
      </c>
      <c r="BE69" s="3473">
        <v>10</v>
      </c>
      <c r="BF69" s="3473">
        <v>10</v>
      </c>
      <c r="BG69" s="3473">
        <v>10</v>
      </c>
      <c r="BH69" s="3473">
        <v>10</v>
      </c>
      <c r="BI69" s="343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365AD-74F2-8667-1772-2785729597A5}" mc:Ignorable="x14ac xr xr2 xr3">
  <sheetPr>
    <tabColor theme="9" tint="-0.25"/>
  </sheetPr>
  <dimension ref="A1:AN303"/>
  <sheetViews>
    <sheetView topLeftCell="A1" showGridLines="0" zoomScale="90" workbookViewId="0">
      <selection activeCell="I91" sqref="I91"/>
    </sheetView>
  </sheetViews>
  <sheetFormatPr defaultColWidth="9.140625" customHeight="1" defaultRowHeight="11.25"/>
  <cols>
    <col min="1" max="1" style="7348" width="10.7109375" hidden="1" customWidth="1"/>
    <col min="2" max="2" style="7348" width="16.8515625" hidden="1" customWidth="1"/>
    <col min="3" max="3" style="7348" width="5.57421875" hidden="1" customWidth="1"/>
    <col min="4" max="4" style="7348" width="3.00390625" customWidth="1"/>
    <col min="5" max="5" style="7348" width="7.00390625" customWidth="1"/>
    <col min="6" max="6" style="7348" width="54.00390625" customWidth="1"/>
    <col min="7" max="7" style="7348" width="17.140625" customWidth="1"/>
    <col min="8" max="8" style="7348" width="40.7109375" hidden="1" customWidth="1"/>
    <col min="9" max="9" style="7348" width="40.00390625" customWidth="1"/>
    <col min="10" max="10" style="7348" width="20.8515625" customWidth="1"/>
    <col min="11" max="11" style="7348" width="25.7109375" customWidth="1"/>
    <col min="12" max="12" style="7348" width="31.28125" customWidth="1"/>
    <col min="13" max="14" style="7348" width="25.57421875" customWidth="1"/>
    <col min="15" max="15" style="7348" width="23.140625" customWidth="1"/>
    <col min="16" max="16" style="7348" width="22.57421875" customWidth="1"/>
    <col min="17" max="17" style="7348" width="26.57421875" customWidth="1"/>
    <col min="18" max="18" style="7348" width="102.00390625" customWidth="1"/>
    <col min="19" max="19" style="7348" width="9.00390625" customWidth="1"/>
    <col min="20" max="20" style="7348" width="5.00390625" customWidth="1"/>
    <col min="21" max="25" style="7348" width="3.00390625" customWidth="1"/>
    <col min="26" max="26" style="7348" width="10.00390625" customWidth="1"/>
    <col min="27" max="27" style="7348" width="34.00390625" customWidth="1"/>
    <col min="28" max="28" style="7348" width="9.00390625" customWidth="1"/>
    <col min="29" max="39" style="7348" width="8.00390625" customWidth="1"/>
    <col min="40" max="40" style="7348" width="9.140625" hidden="1"/>
  </cols>
  <sheetData>
    <row customHeight="1" ht="22.5" hidden="1">
      <c r="AN1" s="3432" t="s">
        <v>14</v>
      </c>
    </row>
    <row customHeight="1" ht="23.25" hidden="1">
      <c r="C2" s="951" t="s">
        <v>560</v>
      </c>
      <c r="E2" s="3945">
        <f>B2</f>
        <v>0</v>
      </c>
      <c r="F2" s="3946"/>
      <c r="G2" s="3480" t="s">
        <v>561</v>
      </c>
      <c r="H2" s="3480" t="s">
        <v>561</v>
      </c>
      <c r="I2" s="3480" t="s">
        <v>561</v>
      </c>
      <c r="J2" s="3480" t="s">
        <v>561</v>
      </c>
      <c r="K2" s="3480" t="s">
        <v>561</v>
      </c>
      <c r="L2" s="3480" t="s">
        <v>561</v>
      </c>
      <c r="M2" s="3480" t="s">
        <v>561</v>
      </c>
      <c r="N2" s="3480" t="s">
        <v>561</v>
      </c>
      <c r="O2" s="3480" t="s">
        <v>561</v>
      </c>
      <c r="P2" s="3480" t="s">
        <v>561</v>
      </c>
      <c r="Q2" s="3480" t="s">
        <v>561</v>
      </c>
      <c r="R2" s="3764" t="s">
        <v>562</v>
      </c>
      <c r="AN2" s="3432">
        <v>0</v>
      </c>
    </row>
    <row customHeight="1" ht="0.75" hidden="1">
      <c r="E3" s="3947"/>
      <c r="F3" s="3948" t="s">
        <v>563</v>
      </c>
      <c r="G3" s="3481"/>
      <c r="H3" s="3481">
        <f>H4*H5+H6</f>
        <v>0</v>
      </c>
      <c r="I3" s="3481">
        <f>I4*I5+I6</f>
        <v>0</v>
      </c>
      <c r="J3" s="3481">
        <f>J4*J5+J6</f>
        <v>0</v>
      </c>
      <c r="K3" s="3481">
        <f>K4*K5+K6</f>
        <v>0</v>
      </c>
      <c r="L3" s="3481">
        <f>L4*L5+L6</f>
        <v>0</v>
      </c>
      <c r="M3" s="3481">
        <f>M4*M5+M6</f>
        <v>0</v>
      </c>
      <c r="N3" s="3481">
        <f>N4*N5+N6</f>
        <v>0</v>
      </c>
      <c r="O3" s="3481">
        <f>O4*O5+O6</f>
        <v>0</v>
      </c>
      <c r="P3" s="3481">
        <f>P4*P5+P6</f>
        <v>0</v>
      </c>
      <c r="Q3" s="3481">
        <f>Q4*Q5+Q6</f>
        <v>0</v>
      </c>
      <c r="R3" s="3581"/>
      <c r="AN3" s="3473">
        <v>0</v>
      </c>
    </row>
    <row customHeight="1" ht="23.25" hidden="1">
      <c r="E4" s="3945" t="str">
        <f>B2&amp;".1"</f>
        <v>.1</v>
      </c>
      <c r="F4" s="3949" t="s">
        <v>564</v>
      </c>
      <c r="G4" s="1050"/>
      <c r="H4" s="838"/>
      <c r="I4" s="838"/>
      <c r="J4" s="838"/>
      <c r="K4" s="838"/>
      <c r="L4" s="838"/>
      <c r="M4" s="838"/>
      <c r="N4" s="838"/>
      <c r="O4" s="838"/>
      <c r="P4" s="838"/>
      <c r="Q4" s="838"/>
      <c r="R4" s="3764" t="s">
        <v>565</v>
      </c>
      <c r="AN4" s="3432">
        <v>0</v>
      </c>
    </row>
    <row customHeight="1" ht="18.75" hidden="1">
      <c r="E5" s="3945" t="str">
        <f>B2&amp;".2"</f>
        <v>.2</v>
      </c>
      <c r="F5" s="3949" t="s">
        <v>566</v>
      </c>
      <c r="G5" s="3480" t="s">
        <v>567</v>
      </c>
      <c r="H5" s="838"/>
      <c r="I5" s="838"/>
      <c r="J5" s="838"/>
      <c r="K5" s="838"/>
      <c r="L5" s="838"/>
      <c r="M5" s="838"/>
      <c r="N5" s="838"/>
      <c r="O5" s="838"/>
      <c r="P5" s="838"/>
      <c r="Q5" s="838"/>
      <c r="R5" s="3764"/>
      <c r="AN5" s="3432">
        <v>0</v>
      </c>
    </row>
    <row customHeight="1" ht="18.75" hidden="1">
      <c r="E6" s="3945" t="str">
        <f>B2&amp;".3"</f>
        <v>.3</v>
      </c>
      <c r="F6" s="3949" t="s">
        <v>568</v>
      </c>
      <c r="G6" s="3480" t="s">
        <v>567</v>
      </c>
      <c r="H6" s="838"/>
      <c r="I6" s="838"/>
      <c r="J6" s="838"/>
      <c r="K6" s="838"/>
      <c r="L6" s="838"/>
      <c r="M6" s="838"/>
      <c r="N6" s="838"/>
      <c r="O6" s="838"/>
      <c r="P6" s="838"/>
      <c r="Q6" s="838"/>
      <c r="R6" s="3764"/>
      <c r="AN6" s="3432">
        <v>0</v>
      </c>
    </row>
    <row customHeight="1" ht="18.75" hidden="1">
      <c r="E7" s="3945" t="str">
        <f>B2&amp;".4"</f>
        <v>.4</v>
      </c>
      <c r="F7" s="3949" t="s">
        <v>569</v>
      </c>
      <c r="G7" s="3480" t="s">
        <v>561</v>
      </c>
      <c r="H7" s="3950"/>
      <c r="I7" s="3950"/>
      <c r="J7" s="3950"/>
      <c r="K7" s="3950"/>
      <c r="L7" s="3950"/>
      <c r="M7" s="3950"/>
      <c r="N7" s="3950"/>
      <c r="O7" s="3950"/>
      <c r="P7" s="3950"/>
      <c r="Q7" s="3950"/>
      <c r="R7" s="3764"/>
      <c r="AN7" s="3432">
        <v>0</v>
      </c>
    </row>
    <row customHeight="1" ht="11.25" hidden="1">
      <c r="H8" s="3449">
        <v>4</v>
      </c>
      <c r="I8" s="3449">
        <v>4</v>
      </c>
      <c r="J8" s="3449">
        <v>4</v>
      </c>
      <c r="K8" s="3449">
        <v>4</v>
      </c>
      <c r="L8" s="3449">
        <v>4</v>
      </c>
      <c r="M8" s="3449">
        <v>4</v>
      </c>
      <c r="N8" s="3449">
        <v>4</v>
      </c>
      <c r="O8" s="3449">
        <v>4</v>
      </c>
      <c r="P8" s="3449">
        <v>4</v>
      </c>
      <c r="Q8" s="3449">
        <v>4</v>
      </c>
      <c r="AN8" s="3449">
        <v>0</v>
      </c>
    </row>
    <row customHeight="1" ht="22.5" hidden="1">
      <c r="E9" s="3480"/>
      <c r="F9" s="157"/>
      <c r="G9" s="3480" t="s">
        <v>567</v>
      </c>
      <c r="H9" s="838"/>
      <c r="I9" s="838"/>
      <c r="J9" s="838"/>
      <c r="K9" s="838"/>
      <c r="L9" s="838"/>
      <c r="M9" s="838"/>
      <c r="N9" s="838"/>
      <c r="O9" s="838"/>
      <c r="P9" s="838"/>
      <c r="Q9" s="838"/>
      <c r="R9" s="3951" t="s">
        <v>570</v>
      </c>
      <c r="AN9" s="3449">
        <v>0</v>
      </c>
    </row>
    <row customHeight="1" ht="11.25" hidden="1">
      <c r="AN10" s="3432">
        <v>0</v>
      </c>
    </row>
    <row customHeight="1" ht="18.75" hidden="1">
      <c r="E11" s="3945"/>
      <c r="F11" s="157"/>
      <c r="G11" s="3480" t="s">
        <v>571</v>
      </c>
      <c r="H11" s="838"/>
      <c r="I11" s="838"/>
      <c r="J11" s="838"/>
      <c r="K11" s="838"/>
      <c r="L11" s="838"/>
      <c r="M11" s="838"/>
      <c r="N11" s="838"/>
      <c r="O11" s="838"/>
      <c r="P11" s="838"/>
      <c r="Q11" s="838"/>
      <c r="R11" s="3764" t="s">
        <v>572</v>
      </c>
      <c r="AN11" s="3432">
        <v>0</v>
      </c>
    </row>
    <row customHeight="1" ht="11.25" hidden="1">
      <c r="AN12" s="3432">
        <v>0</v>
      </c>
    </row>
    <row customHeight="1" ht="22.5" hidden="1">
      <c r="E13" s="3945"/>
      <c r="F13" s="157"/>
      <c r="G13" s="3436" t="s">
        <v>573</v>
      </c>
      <c r="H13" s="1053"/>
      <c r="I13" s="1053"/>
      <c r="J13" s="1053"/>
      <c r="K13" s="1053"/>
      <c r="L13" s="1053"/>
      <c r="M13" s="1053"/>
      <c r="N13" s="1053"/>
      <c r="O13" s="1053"/>
      <c r="P13" s="1053"/>
      <c r="Q13" s="1053"/>
      <c r="R13" s="3952" t="s">
        <v>574</v>
      </c>
      <c r="AN13" s="3432">
        <v>0</v>
      </c>
    </row>
    <row customHeight="1" ht="11.25" hidden="1">
      <c r="AN14" s="3432">
        <v>0</v>
      </c>
    </row>
    <row customHeight="1" ht="22.5" hidden="1">
      <c r="E15" s="3945"/>
      <c r="F15" s="157"/>
      <c r="G15" s="3480" t="s">
        <v>575</v>
      </c>
      <c r="H15" s="1053"/>
      <c r="I15" s="1053"/>
      <c r="J15" s="1053"/>
      <c r="K15" s="1053"/>
      <c r="L15" s="1053"/>
      <c r="M15" s="1053"/>
      <c r="N15" s="1053"/>
      <c r="O15" s="1053"/>
      <c r="P15" s="1053"/>
      <c r="Q15" s="1053"/>
      <c r="R15" s="3764" t="s">
        <v>576</v>
      </c>
      <c r="AN15" s="3432">
        <v>0</v>
      </c>
    </row>
    <row customHeight="1" ht="11.25" hidden="1">
      <c r="AN16" s="3432">
        <v>0</v>
      </c>
    </row>
    <row customHeight="1" ht="22.5" hidden="1">
      <c r="E17" s="3945"/>
      <c r="F17" s="157"/>
      <c r="G17" s="3480" t="s">
        <v>577</v>
      </c>
      <c r="H17" s="1053"/>
      <c r="I17" s="1053"/>
      <c r="J17" s="1053"/>
      <c r="K17" s="1053"/>
      <c r="L17" s="1053"/>
      <c r="M17" s="1053"/>
      <c r="N17" s="1053"/>
      <c r="O17" s="1053"/>
      <c r="P17" s="1053"/>
      <c r="Q17" s="1053"/>
      <c r="R17" s="3764" t="s">
        <v>578</v>
      </c>
      <c r="AN17" s="3432">
        <v>0</v>
      </c>
    </row>
    <row customHeight="1" ht="11.25" hidden="1">
      <c r="AN18" s="3432">
        <v>0</v>
      </c>
    </row>
    <row customHeight="1" ht="11.25" hidden="1">
      <c r="R19" s="3430">
        <v>4</v>
      </c>
      <c r="AN19" s="3430">
        <v>0</v>
      </c>
    </row>
    <row customHeight="1" ht="11.549999999999999">
      <c r="AN20" s="3432">
        <v>11</v>
      </c>
    </row>
    <row customHeight="1" ht="25.2">
      <c r="E21" s="364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3646"/>
      <c r="G21" s="3646"/>
      <c r="H21" s="3646"/>
      <c r="I21" s="3646"/>
      <c r="J21" s="3646"/>
      <c r="K21" s="3646"/>
      <c r="L21" s="3646"/>
      <c r="M21" s="3646"/>
      <c r="N21" s="3646"/>
      <c r="O21" s="3646"/>
      <c r="P21" s="3646"/>
      <c r="Q21" s="3646"/>
      <c r="AN21" s="3432">
        <v>24</v>
      </c>
    </row>
    <row customHeight="1" ht="25.2">
      <c r="E22" s="3554" t="str">
        <f>IF(org=0,"Не определено",org)</f>
        <v>ООО "ТеплоЭлектроГенерирующая Компания"</v>
      </c>
      <c r="F22" s="3554"/>
      <c r="G22" s="3554"/>
      <c r="H22" s="3554"/>
      <c r="I22" s="3554"/>
      <c r="J22" s="3554"/>
      <c r="K22" s="3554"/>
      <c r="L22" s="3554"/>
      <c r="M22" s="3554"/>
      <c r="N22" s="3554"/>
      <c r="O22" s="3554"/>
      <c r="P22" s="3554"/>
      <c r="Q22" s="3554"/>
      <c r="AN22" s="3432">
        <v>24</v>
      </c>
    </row>
    <row customHeight="1" ht="11.549999999999999">
      <c r="J23" s="3399" t="s">
        <v>22</v>
      </c>
      <c r="K23" s="3399" t="s">
        <v>22</v>
      </c>
      <c r="L23" s="3399" t="s">
        <v>22</v>
      </c>
      <c r="M23" s="3399" t="s">
        <v>22</v>
      </c>
      <c r="N23" s="3399" t="s">
        <v>22</v>
      </c>
      <c r="O23" s="3399" t="s">
        <v>22</v>
      </c>
      <c r="P23" s="3399" t="s">
        <v>22</v>
      </c>
      <c r="Q23" s="3399" t="s">
        <v>22</v>
      </c>
      <c r="AN23" s="3432">
        <v>11</v>
      </c>
    </row>
    <row customHeight="1" ht="1.05">
      <c r="H24" s="3953"/>
      <c r="I24" s="3953" t="s">
        <v>116</v>
      </c>
      <c r="J24" s="3953" t="s">
        <v>121</v>
      </c>
      <c r="K24" s="3953" t="s">
        <v>123</v>
      </c>
      <c r="L24" s="3953" t="s">
        <v>125</v>
      </c>
      <c r="M24" s="3953" t="s">
        <v>127</v>
      </c>
      <c r="N24" s="3953" t="s">
        <v>129</v>
      </c>
      <c r="O24" s="3953" t="s">
        <v>131</v>
      </c>
      <c r="P24" s="3953" t="s">
        <v>133</v>
      </c>
      <c r="Q24" s="3953" t="s">
        <v>136</v>
      </c>
      <c r="AN24" s="3473">
        <v>1</v>
      </c>
    </row>
    <row customHeight="1" ht="11.549999999999999">
      <c r="E25" s="3924"/>
      <c r="F25" s="3925" t="s">
        <v>103</v>
      </c>
      <c r="G25" s="3926"/>
      <c r="H25" s="3954" t="str">
        <f>IF(H24="","",INDEX(DIFFERENTIATION_UNMERGE_VD,MATCH(H24,DIFFERENTIATION_ID_DIFF,0)))</f>
        <v/>
      </c>
      <c r="I25" s="3954" t="str">
        <f>IF(I24="","",INDEX(DIFFERENTIATION_UNMERGE_VD,MATCH(I24,DIFFERENTIATION_ID_DIFF,0)))</f>
        <v>Горячее водоснабжение</v>
      </c>
      <c r="J25" s="3954" t="str">
        <f>IF(J24="","",INDEX(DIFFERENTIATION_UNMERGE_VD,MATCH(J24,DIFFERENTIATION_ID_DIFF,0)))</f>
        <v>Горячее водоснабжение</v>
      </c>
      <c r="K25" s="3954" t="str">
        <f>IF(K24="","",INDEX(DIFFERENTIATION_UNMERGE_VD,MATCH(K24,DIFFERENTIATION_ID_DIFF,0)))</f>
        <v>Горячее водоснабжение</v>
      </c>
      <c r="L25" s="3954" t="str">
        <f>IF(L24="","",INDEX(DIFFERENTIATION_UNMERGE_VD,MATCH(L24,DIFFERENTIATION_ID_DIFF,0)))</f>
        <v>Горячее водоснабжение</v>
      </c>
      <c r="M25" s="3954" t="str">
        <f>IF(M24="","",INDEX(DIFFERENTIATION_UNMERGE_VD,MATCH(M24,DIFFERENTIATION_ID_DIFF,0)))</f>
        <v>Горячее водоснабжение</v>
      </c>
      <c r="N25" s="3954" t="str">
        <f>IF(N24="","",INDEX(DIFFERENTIATION_UNMERGE_VD,MATCH(N24,DIFFERENTIATION_ID_DIFF,0)))</f>
        <v>Горячее водоснабжение</v>
      </c>
      <c r="O25" s="3954" t="str">
        <f>IF(O24="","",INDEX(DIFFERENTIATION_UNMERGE_VD,MATCH(O24,DIFFERENTIATION_ID_DIFF,0)))</f>
        <v>Горячее водоснабжение</v>
      </c>
      <c r="P25" s="3954" t="str">
        <f>IF(P24="","",INDEX(DIFFERENTIATION_UNMERGE_VD,MATCH(P24,DIFFERENTIATION_ID_DIFF,0)))</f>
        <v>Горячее водоснабжение</v>
      </c>
      <c r="Q25" s="3954" t="str">
        <f>IF(Q24="","",INDEX(DIFFERENTIATION_UNMERGE_VD,MATCH(Q24,DIFFERENTIATION_ID_DIFF,0)))</f>
        <v>Горячее водоснабжение</v>
      </c>
      <c r="R25" s="3480"/>
      <c r="AN25" s="3432">
        <v>11</v>
      </c>
    </row>
    <row customHeight="1" ht="11.549999999999999">
      <c r="E26" s="3924"/>
      <c r="F26" s="3925" t="s">
        <v>579</v>
      </c>
      <c r="G26" s="3926"/>
      <c r="H26" s="3954" t="str">
        <f>IF(H24="","",INDEX(DIFFERENTIATION_UNMERGE_AREA,MATCH(H24,DIFFERENTIATION_ID_DIFF,0)))</f>
        <v/>
      </c>
      <c r="I26" s="3954" t="str">
        <f>IF(I24="","",INDEX(DIFFERENTIATION_UNMERGE_AREA,MATCH(I24,DIFFERENTIATION_ID_DIFF,0)))</f>
        <v>Территория 1</v>
      </c>
      <c r="J26" s="3954" t="str">
        <f>IF(J24="","",INDEX(DIFFERENTIATION_UNMERGE_AREA,MATCH(J24,DIFFERENTIATION_ID_DIFF,0)))</f>
        <v>Территория 1</v>
      </c>
      <c r="K26" s="3954" t="str">
        <f>IF(K24="","",INDEX(DIFFERENTIATION_UNMERGE_AREA,MATCH(K24,DIFFERENTIATION_ID_DIFF,0)))</f>
        <v>Территория 1</v>
      </c>
      <c r="L26" s="3954" t="str">
        <f>IF(L24="","",INDEX(DIFFERENTIATION_UNMERGE_AREA,MATCH(L24,DIFFERENTIATION_ID_DIFF,0)))</f>
        <v>Территория 1</v>
      </c>
      <c r="M26" s="3954" t="str">
        <f>IF(M24="","",INDEX(DIFFERENTIATION_UNMERGE_AREA,MATCH(M24,DIFFERENTIATION_ID_DIFF,0)))</f>
        <v>Территория 1</v>
      </c>
      <c r="N26" s="3954" t="str">
        <f>IF(N24="","",INDEX(DIFFERENTIATION_UNMERGE_AREA,MATCH(N24,DIFFERENTIATION_ID_DIFF,0)))</f>
        <v>Территория 1</v>
      </c>
      <c r="O26" s="3954" t="str">
        <f>IF(O24="","",INDEX(DIFFERENTIATION_UNMERGE_AREA,MATCH(O24,DIFFERENTIATION_ID_DIFF,0)))</f>
        <v>Территория 1</v>
      </c>
      <c r="P26" s="3954" t="str">
        <f>IF(P24="","",INDEX(DIFFERENTIATION_UNMERGE_AREA,MATCH(P24,DIFFERENTIATION_ID_DIFF,0)))</f>
        <v>Территория 1</v>
      </c>
      <c r="Q26" s="3954" t="str">
        <f>IF(Q24="","",INDEX(DIFFERENTIATION_UNMERGE_AREA,MATCH(Q24,DIFFERENTIATION_ID_DIFF,0)))</f>
        <v>Территория 1</v>
      </c>
      <c r="R26" s="3480"/>
      <c r="AN26" s="3432">
        <v>11</v>
      </c>
    </row>
    <row customHeight="1" ht="23.25">
      <c r="E27" s="3924"/>
      <c r="F27" s="3925" t="s">
        <v>580</v>
      </c>
      <c r="G27" s="3926"/>
      <c r="H27" s="3954" t="str">
        <f>IF(H24="","",INDEX(DIFFERENTIATION_UNMERGE_SYSTEM,MATCH(H24,DIFFERENTIATION_ID_DIFF,0)))</f>
        <v/>
      </c>
      <c r="I27" s="3954" t="str">
        <f>IF(I24="","",INDEX(DIFFERENTIATION_UNMERGE_SYSTEM,MATCH(I24,DIFFERENTIATION_ID_DIFF,0)))</f>
        <v>г. Саратов, ул.Деловая, 22, п. Юбилейный
</v>
      </c>
      <c r="J27" s="3954" t="str">
        <f>IF(J24="","",INDEX(DIFFERENTIATION_UNMERGE_SYSTEM,MATCH(J24,DIFFERENTIATION_ID_DIFF,0)))</f>
        <v>г. Саратов, ул. Вавилова,8/26 А
</v>
      </c>
      <c r="K27" s="3954" t="str">
        <f>IF(K24="","",INDEX(DIFFERENTIATION_UNMERGE_SYSTEM,MATCH(K24,DIFFERENTIATION_ID_DIFF,0)))</f>
        <v>г. Саратов, пр. 50 лет Октября, 60, 74, 108, ЦТП Волочаевский пр., 5, ЦТП Соколовая, 145/153
</v>
      </c>
      <c r="L27" s="3954" t="str">
        <f>IF(L24="","",INDEX(DIFFERENTIATION_UNMERGE_SYSTEM,MATCH(L24,DIFFERENTIATION_ID_DIFF,0)))</f>
        <v>г. Саратов, ул. Шелковичная, 186, ул. Шелковичная, 178, ул. Шелковичная, 155/161, ул. 2-я Садовая, 106 б.
</v>
      </c>
      <c r="M27" s="3954" t="str">
        <f>IF(M24="","",INDEX(DIFFERENTIATION_UNMERGE_SYSTEM,MATCH(M24,DIFFERENTIATION_ID_DIFF,0)))</f>
        <v>г. Саратов, ул. Ломоносова, 1
</v>
      </c>
      <c r="N27" s="3954" t="str">
        <f>IF(N24="","",INDEX(DIFFERENTIATION_UNMERGE_SYSTEM,MATCH(N24,DIFFERENTIATION_ID_DIFF,0)))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27" s="3954" t="str">
        <f>IF(O24="","",INDEX(DIFFERENTIATION_UNMERGE_SYSTEM,MATCH(O24,DIFFERENTIATION_ID_DIFF,0)))</f>
        <v>г. Саратов, ул. Огородная, 77
</v>
      </c>
      <c r="P27" s="3954" t="str">
        <f>IF(P24="","",INDEX(DIFFERENTIATION_UNMERGE_SYSTEM,MATCH(P24,DIFFERENTIATION_ID_DIFF,0)))</f>
        <v>г. Саратов, ул. Танкистов, 89
</v>
      </c>
      <c r="Q27" s="3954" t="str">
        <f>IF(Q24="","",INDEX(DIFFERENTIATION_UNMERGE_SYSTEM,MATCH(Q24,DIFFERENTIATION_ID_DIFF,0)))</f>
        <v>г. Саратов, ул. Политехническая, 47
</v>
      </c>
      <c r="R27" s="3480"/>
      <c r="AN27" s="3432">
        <v>11</v>
      </c>
    </row>
    <row customHeight="1" ht="11.549999999999999">
      <c r="E28" s="3929" t="s">
        <v>315</v>
      </c>
      <c r="F28" s="3930"/>
      <c r="G28" s="3930"/>
      <c r="H28" s="3925"/>
      <c r="I28" s="3925"/>
      <c r="J28" s="3925"/>
      <c r="K28" s="3925"/>
      <c r="L28" s="3925"/>
      <c r="M28" s="3925"/>
      <c r="N28" s="3925"/>
      <c r="O28" s="3925"/>
      <c r="P28" s="3925"/>
      <c r="Q28" s="3925"/>
      <c r="R28" s="3480"/>
      <c r="AN28" s="3432">
        <v>11</v>
      </c>
    </row>
    <row customHeight="1" ht="24">
      <c r="E29" s="3480" t="s">
        <v>86</v>
      </c>
      <c r="F29" s="3480" t="s">
        <v>317</v>
      </c>
      <c r="G29" s="3480" t="s">
        <v>581</v>
      </c>
      <c r="H29" s="3480" t="s">
        <v>318</v>
      </c>
      <c r="I29" s="3480" t="s">
        <v>318</v>
      </c>
      <c r="J29" s="3480" t="s">
        <v>318</v>
      </c>
      <c r="K29" s="3480" t="s">
        <v>318</v>
      </c>
      <c r="L29" s="3480" t="s">
        <v>318</v>
      </c>
      <c r="M29" s="3480" t="s">
        <v>318</v>
      </c>
      <c r="N29" s="3480" t="s">
        <v>318</v>
      </c>
      <c r="O29" s="3480" t="s">
        <v>318</v>
      </c>
      <c r="P29" s="3480" t="s">
        <v>318</v>
      </c>
      <c r="Q29" s="3480" t="s">
        <v>318</v>
      </c>
      <c r="R29" s="3480"/>
      <c r="AN29" s="3432">
        <v>23</v>
      </c>
    </row>
    <row customHeight="1" ht="20.25">
      <c r="E30" s="3945">
        <f>FHD_NUM_P_1</f>
        <v>1</v>
      </c>
      <c r="F30" s="3563" t="str">
        <f>FHD_P_1</f>
        <v>Выручка от регулируемых видов деятельности в сфере горячего водоснабжения</v>
      </c>
      <c r="G30" s="3480" t="s">
        <v>567</v>
      </c>
      <c r="H30" s="1057"/>
      <c r="I30" s="1057">
        <v>52096.045</v>
      </c>
      <c r="J30" s="1057">
        <v>2050.5</v>
      </c>
      <c r="K30" s="1057">
        <v>21428.716</v>
      </c>
      <c r="L30" s="1057">
        <v>17725.819</v>
      </c>
      <c r="M30" s="1057">
        <v>4895.975</v>
      </c>
      <c r="N30" s="1057">
        <v>46775.596</v>
      </c>
      <c r="O30" s="1057">
        <v>2799.672</v>
      </c>
      <c r="P30" s="1057">
        <v>204.774</v>
      </c>
      <c r="Q30" s="1057">
        <v>5685.956</v>
      </c>
      <c r="R30" s="3764" t="str">
        <f>FHD_NOTE_P_1</f>
        <v>Указывается выручка с распределением по видам деятельности.</v>
      </c>
      <c r="AN30" s="3432">
        <v>19</v>
      </c>
    </row>
    <row customHeight="1" ht="39.75">
      <c r="E31" s="3945">
        <f>FHD_NUM_P_2</f>
        <v>2</v>
      </c>
      <c r="F31" s="3563" t="str">
        <f>FHD_P_2</f>
        <v>Себестоимость производимых товаров (оказываемых услуг) по регулируемым видам деятельности в сфере горячего водоснабжения, включая:</v>
      </c>
      <c r="G31" s="3480" t="s">
        <v>567</v>
      </c>
      <c r="H31" s="694">
        <f>SUMIF($S32:$S71,$S31,H32:H71)</f>
        <v>0</v>
      </c>
      <c r="I31" s="694">
        <f>SUMIF($S32:$S71,$S31,I32:I71)</f>
        <v>52096.04</v>
      </c>
      <c r="J31" s="694">
        <f>SUMIF($S32:$S71,$S31,J32:J71)</f>
        <v>2525.128</v>
      </c>
      <c r="K31" s="694">
        <f>SUMIF($S32:$S71,$S31,K32:K71)</f>
        <v>21428.714</v>
      </c>
      <c r="L31" s="694">
        <f>SUMIF($S32:$S71,$S31,L32:L71)</f>
        <v>17725.818</v>
      </c>
      <c r="M31" s="694">
        <f>SUMIF($S32:$S71,$S31,M32:M71)</f>
        <v>4895.974</v>
      </c>
      <c r="N31" s="694">
        <f>SUMIF($S32:$S71,$S31,N32:N71)</f>
        <v>46755.596</v>
      </c>
      <c r="O31" s="694">
        <f>SUMIF($S32:$S71,$S31,O32:O71)</f>
        <v>2825.525</v>
      </c>
      <c r="P31" s="694">
        <f>SUMIF($S32:$S71,$S31,P32:P71)</f>
        <v>226.651</v>
      </c>
      <c r="Q31" s="694">
        <f>SUMIF($S32:$S71,$S31,Q32:Q71)</f>
        <v>5685.956</v>
      </c>
      <c r="R31" s="3764" t="str">
        <f>FHD_NOTE_P_2</f>
        <v>Указывается суммарная себестоимость производимых товаров.</v>
      </c>
      <c r="S31" s="3473" t="s">
        <v>582</v>
      </c>
      <c r="AN31" s="3432">
        <v>11</v>
      </c>
    </row>
    <row customHeight="1" ht="11.549999999999999">
      <c r="E32" s="3945" t="str">
        <f>FHD_NUM_P_3</f>
        <v>2.1</v>
      </c>
      <c r="F32" s="3912" t="str">
        <f>FHD_P_3</f>
        <v>Расходы на приобретаемую тепловую энергию (мощность), используемую для горячего водоснабжения</v>
      </c>
      <c r="G32" s="3480" t="s">
        <v>567</v>
      </c>
      <c r="H32" s="1057"/>
      <c r="I32" s="1057">
        <v>0</v>
      </c>
      <c r="J32" s="1057">
        <v>0</v>
      </c>
      <c r="K32" s="1057">
        <v>0</v>
      </c>
      <c r="L32" s="1057">
        <v>0</v>
      </c>
      <c r="M32" s="1057">
        <v>0</v>
      </c>
      <c r="N32" s="1057">
        <v>0</v>
      </c>
      <c r="O32" s="1057">
        <v>0</v>
      </c>
      <c r="P32" s="1057">
        <v>0</v>
      </c>
      <c r="Q32" s="1057">
        <v>0</v>
      </c>
      <c r="R32" s="3764" t="str">
        <f>FHD_NOTE_P_3</f>
        <v/>
      </c>
      <c r="S32" s="3473" t="str">
        <f>IF((LEN(E32)-LEN(SUBSTITUTE(E32,".","")))/LEN(".")=1,"p","")</f>
        <v>p</v>
      </c>
      <c r="AN32" s="3432">
        <v>11</v>
      </c>
    </row>
    <row customHeight="1" ht="39.75" hidden="1">
      <c r="A33" s="1058" t="s">
        <v>583</v>
      </c>
      <c r="E33" s="3945" t="str">
        <f>FHD_NUM_P_4</f>
        <v/>
      </c>
      <c r="F33" s="3912" t="str">
        <f>FHD_P_4</f>
        <v/>
      </c>
      <c r="G33" s="3480" t="s">
        <v>567</v>
      </c>
      <c r="H33" s="694">
        <f>SUMIF($F34:$F40,$F3,H34:H40)</f>
        <v>0</v>
      </c>
      <c r="I33" s="694">
        <f>SUMIF($F34:$F40,$F3,I34:I40)</f>
        <v>0</v>
      </c>
      <c r="J33" s="694">
        <f>SUMIF($F34:$F40,$F3,J34:J40)</f>
        <v>0</v>
      </c>
      <c r="K33" s="694">
        <f>SUMIF($F34:$F40,$F3,K34:K40)</f>
        <v>0</v>
      </c>
      <c r="L33" s="694">
        <f>SUMIF($F34:$F40,$F3,L34:L40)</f>
        <v>0</v>
      </c>
      <c r="M33" s="694">
        <f>SUMIF($F34:$F40,$F3,M34:M40)</f>
        <v>0</v>
      </c>
      <c r="N33" s="694">
        <f>SUMIF($F34:$F40,$F3,N34:N40)</f>
        <v>0</v>
      </c>
      <c r="O33" s="694">
        <f>SUMIF($F34:$F40,$F3,O34:O40)</f>
        <v>0</v>
      </c>
      <c r="P33" s="694">
        <f>SUMIF($F34:$F40,$F3,P34:P40)</f>
        <v>0</v>
      </c>
      <c r="Q33" s="694">
        <f>SUMIF($F34:$F40,$F3,Q34:Q40)</f>
        <v>0</v>
      </c>
      <c r="R33" s="3764" t="str">
        <f>FHD_NOTE_P_4</f>
        <v/>
      </c>
      <c r="S33" s="3473" t="str">
        <f>IF((LEN(E33)-LEN(SUBSTITUTE(E33,".","")))/LEN(".")=1,"p","")</f>
        <v/>
      </c>
      <c r="AN33" s="3432">
        <v>0</v>
      </c>
    </row>
    <row customHeight="1" ht="39.75" hidden="1">
      <c r="A34" s="1058"/>
      <c r="B34" s="3955" t="str">
        <f>E33&amp;".0"</f>
        <v>.0</v>
      </c>
      <c r="E34" s="1060"/>
      <c r="F34" s="3956"/>
      <c r="G34" s="3957"/>
      <c r="H34" s="392"/>
      <c r="I34" s="392"/>
      <c r="J34" s="392"/>
      <c r="K34" s="392"/>
      <c r="L34" s="392"/>
      <c r="M34" s="392"/>
      <c r="N34" s="392"/>
      <c r="O34" s="392"/>
      <c r="P34" s="392"/>
      <c r="Q34" s="392"/>
      <c r="R34" s="3958"/>
      <c r="S34" s="3473" t="str">
        <f>IF((LEN(E34)-LEN(SUBSTITUTE(E34,".","")))/LEN(".")=1,"p","")</f>
        <v/>
      </c>
      <c r="AN34" s="3637">
        <v>0</v>
      </c>
    </row>
    <row customHeight="1" ht="39.75" hidden="1">
      <c r="A35" s="1058"/>
      <c r="E35" s="3959"/>
      <c r="F35" s="3960"/>
      <c r="G35" s="3957"/>
      <c r="H35" s="1066"/>
      <c r="I35" s="1066"/>
      <c r="J35" s="1066"/>
      <c r="K35" s="1066"/>
      <c r="L35" s="1066"/>
      <c r="M35" s="1066"/>
      <c r="N35" s="1066"/>
      <c r="O35" s="1066"/>
      <c r="P35" s="1066"/>
      <c r="Q35" s="1066"/>
      <c r="R35" s="3958"/>
      <c r="S35" s="3473" t="str">
        <f>IF((LEN(E35)-LEN(SUBSTITUTE(E35,".","")))/LEN(".")=1,"p","")</f>
        <v/>
      </c>
      <c r="AN35" s="3637">
        <v>0</v>
      </c>
    </row>
    <row customHeight="1" ht="39.75" hidden="1">
      <c r="A36" s="1058"/>
      <c r="E36" s="3959"/>
      <c r="F36" s="3960"/>
      <c r="G36" s="3957"/>
      <c r="H36" s="1066"/>
      <c r="I36" s="1066"/>
      <c r="J36" s="1066"/>
      <c r="K36" s="1066"/>
      <c r="L36" s="1066"/>
      <c r="M36" s="1066"/>
      <c r="N36" s="1066"/>
      <c r="O36" s="1066"/>
      <c r="P36" s="1066"/>
      <c r="Q36" s="1066"/>
      <c r="R36" s="3958"/>
      <c r="S36" s="3473" t="str">
        <f>IF((LEN(E36)-LEN(SUBSTITUTE(E36,".","")))/LEN(".")=1,"p","")</f>
        <v/>
      </c>
      <c r="AN36" s="3637">
        <v>0</v>
      </c>
    </row>
    <row customHeight="1" ht="39.75" hidden="1">
      <c r="A37" s="1058"/>
      <c r="E37" s="3959"/>
      <c r="F37" s="3960"/>
      <c r="G37" s="3957"/>
      <c r="H37" s="1066"/>
      <c r="I37" s="1066"/>
      <c r="J37" s="1066"/>
      <c r="K37" s="1066"/>
      <c r="L37" s="1066"/>
      <c r="M37" s="1066"/>
      <c r="N37" s="1066"/>
      <c r="O37" s="1066"/>
      <c r="P37" s="1066"/>
      <c r="Q37" s="1066"/>
      <c r="R37" s="3958"/>
      <c r="S37" s="3473" t="str">
        <f>IF((LEN(E37)-LEN(SUBSTITUTE(E37,".","")))/LEN(".")=1,"p","")</f>
        <v/>
      </c>
      <c r="AN37" s="3637">
        <v>0</v>
      </c>
    </row>
    <row customHeight="1" ht="39.75" hidden="1">
      <c r="A38" s="1058"/>
      <c r="E38" s="3959"/>
      <c r="F38" s="3960"/>
      <c r="G38" s="3957"/>
      <c r="H38" s="1066"/>
      <c r="I38" s="1066"/>
      <c r="J38" s="1066"/>
      <c r="K38" s="1066"/>
      <c r="L38" s="1066"/>
      <c r="M38" s="1066"/>
      <c r="N38" s="1066"/>
      <c r="O38" s="1066"/>
      <c r="P38" s="1066"/>
      <c r="Q38" s="1066"/>
      <c r="R38" s="3958"/>
      <c r="S38" s="3473" t="str">
        <f>IF((LEN(E38)-LEN(SUBSTITUTE(E38,".","")))/LEN(".")=1,"p","")</f>
        <v/>
      </c>
      <c r="AN38" s="3637">
        <v>0</v>
      </c>
    </row>
    <row customHeight="1" ht="39.75" hidden="1">
      <c r="A39" s="1058"/>
      <c r="E39" s="3959"/>
      <c r="F39" s="3960"/>
      <c r="G39" s="3957"/>
      <c r="H39" s="392"/>
      <c r="I39" s="392"/>
      <c r="J39" s="392"/>
      <c r="K39" s="392"/>
      <c r="L39" s="392"/>
      <c r="M39" s="392"/>
      <c r="N39" s="392"/>
      <c r="O39" s="392"/>
      <c r="P39" s="392"/>
      <c r="Q39" s="392"/>
      <c r="R39" s="3958"/>
      <c r="S39" s="3473" t="str">
        <f>IF((LEN(E39)-LEN(SUBSTITUTE(E39,".","")))/LEN(".")=1,"p","")</f>
        <v/>
      </c>
      <c r="AN39" s="3637">
        <v>0</v>
      </c>
    </row>
    <row customHeight="1" ht="39.75" hidden="1">
      <c r="A40" s="1058"/>
      <c r="E40" s="1067"/>
      <c r="F40" s="226" t="s">
        <v>584</v>
      </c>
      <c r="G40" s="3727"/>
      <c r="H40" s="3935"/>
      <c r="I40" s="3935"/>
      <c r="J40" s="3935"/>
      <c r="K40" s="3935"/>
      <c r="L40" s="3935"/>
      <c r="M40" s="3935"/>
      <c r="N40" s="3935"/>
      <c r="O40" s="3935"/>
      <c r="P40" s="3935"/>
      <c r="Q40" s="3935"/>
      <c r="R40" s="3793"/>
      <c r="S40" s="3473" t="str">
        <f>IF((LEN(E40)-LEN(SUBSTITUTE(E40,".","")))/LEN(".")=1,"p","")</f>
        <v/>
      </c>
      <c r="AN40" s="3449">
        <v>0</v>
      </c>
    </row>
    <row customHeight="1" ht="39.75">
      <c r="A41" s="1058" t="s">
        <v>585</v>
      </c>
      <c r="E41" s="3945" t="str">
        <f>FHD_NUM_P_5</f>
        <v>2.2</v>
      </c>
      <c r="F41" s="3912" t="str">
        <f>FHD_P_5</f>
        <v>Расходы на тепловую энергию, производимую с применением собственных источников и используемую для горячего водоснабжения</v>
      </c>
      <c r="G41" s="3480" t="s">
        <v>567</v>
      </c>
      <c r="H41" s="1057"/>
      <c r="I41" s="1057">
        <v>46760.29</v>
      </c>
      <c r="J41" s="1057">
        <v>345.318</v>
      </c>
      <c r="K41" s="1057">
        <v>3648.954</v>
      </c>
      <c r="L41" s="1057">
        <v>2984.836</v>
      </c>
      <c r="M41" s="1057">
        <v>1065.228</v>
      </c>
      <c r="N41" s="1057">
        <v>7897.448</v>
      </c>
      <c r="O41" s="1057">
        <v>507.411</v>
      </c>
      <c r="P41" s="1057">
        <v>35.923</v>
      </c>
      <c r="Q41" s="1057">
        <v>804.9</v>
      </c>
      <c r="R41" s="3764" t="str">
        <f>FHD_NOTE_P_5</f>
        <v/>
      </c>
      <c r="S41" s="3473" t="str">
        <f>IF((LEN(E41)-LEN(SUBSTITUTE(E41,".","")))/LEN(".")=1,"p","")</f>
        <v>p</v>
      </c>
      <c r="AN41" s="3432">
        <v>0</v>
      </c>
    </row>
    <row customHeight="1" ht="39.75">
      <c r="A42" s="1058"/>
      <c r="E42" s="3945" t="str">
        <f>FHD_NUM_P_6</f>
        <v>2.3</v>
      </c>
      <c r="F42" s="3912" t="str">
        <f>FHD_P_6</f>
        <v>Расходы на приобретаемую холодную воду, используемую для горячего водоснабжения</v>
      </c>
      <c r="G42" s="3480" t="s">
        <v>567</v>
      </c>
      <c r="H42" s="1057"/>
      <c r="I42" s="1057">
        <v>5335.75</v>
      </c>
      <c r="J42" s="1057">
        <v>1434.33</v>
      </c>
      <c r="K42" s="1057">
        <v>17779.76</v>
      </c>
      <c r="L42" s="1057">
        <v>14740.982</v>
      </c>
      <c r="M42" s="1057">
        <v>3830.746</v>
      </c>
      <c r="N42" s="1057">
        <v>38858.148</v>
      </c>
      <c r="O42" s="1057">
        <v>2221.844</v>
      </c>
      <c r="P42" s="1057">
        <v>149.878</v>
      </c>
      <c r="Q42" s="1057">
        <v>4881.056</v>
      </c>
      <c r="R42" s="3764" t="str">
        <f>FHD_NOTE_P_6</f>
        <v/>
      </c>
      <c r="S42" s="3473" t="str">
        <f>IF((LEN(E42)-LEN(SUBSTITUTE(E42,".","")))/LEN(".")=1,"p","")</f>
        <v>p</v>
      </c>
      <c r="AN42" s="3432">
        <v>0</v>
      </c>
    </row>
    <row customHeight="1" ht="39.75">
      <c r="A43" s="1058"/>
      <c r="E43" s="3945" t="str">
        <f>FHD_NUM_P_7</f>
        <v>2.4</v>
      </c>
      <c r="F43" s="391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3480" t="s">
        <v>567</v>
      </c>
      <c r="H43" s="1057"/>
      <c r="I43" s="1057">
        <v>0</v>
      </c>
      <c r="J43" s="1057">
        <v>0</v>
      </c>
      <c r="K43" s="1057">
        <v>0</v>
      </c>
      <c r="L43" s="1057">
        <v>0</v>
      </c>
      <c r="M43" s="1057">
        <v>0</v>
      </c>
      <c r="N43" s="1057">
        <v>0</v>
      </c>
      <c r="O43" s="1057">
        <v>0</v>
      </c>
      <c r="P43" s="1057">
        <v>0</v>
      </c>
      <c r="Q43" s="1057">
        <v>0</v>
      </c>
      <c r="R43" s="3764" t="str">
        <f>FHD_NOTE_P_7</f>
        <v/>
      </c>
      <c r="S43" s="3473" t="str">
        <f>IF((LEN(E43)-LEN(SUBSTITUTE(E43,".","")))/LEN(".")=1,"p","")</f>
        <v>p</v>
      </c>
      <c r="AN43" s="3432">
        <v>0</v>
      </c>
    </row>
    <row customHeight="1" ht="39.75">
      <c r="E44" s="3945" t="str">
        <f>FHD_NUM_P_8</f>
        <v>2.5</v>
      </c>
      <c r="F44" s="3912" t="str">
        <f>FHD_P_8</f>
        <v>Расходы на приобретаемую электрическую энергию (мощность), используемую в технологическом процессе</v>
      </c>
      <c r="G44" s="3480" t="s">
        <v>567</v>
      </c>
      <c r="H44" s="1057"/>
      <c r="I44" s="1057">
        <v>0</v>
      </c>
      <c r="J44" s="1057">
        <v>745.48</v>
      </c>
      <c r="K44" s="1057">
        <v>0</v>
      </c>
      <c r="L44" s="1057">
        <v>0</v>
      </c>
      <c r="M44" s="1057">
        <v>0</v>
      </c>
      <c r="N44" s="1057">
        <v>0</v>
      </c>
      <c r="O44" s="1057">
        <v>0</v>
      </c>
      <c r="P44" s="1057">
        <v>0</v>
      </c>
      <c r="Q44" s="1057">
        <v>0</v>
      </c>
      <c r="R44" s="3764" t="str">
        <f>FHD_NOTE_P_8</f>
        <v/>
      </c>
      <c r="S44" s="3473" t="str">
        <f>IF((LEN(E44)-LEN(SUBSTITUTE(E44,".","")))/LEN(".")=1,"p","")</f>
        <v>p</v>
      </c>
      <c r="AN44" s="3432">
        <v>11</v>
      </c>
    </row>
    <row customHeight="1" ht="11.549999999999999">
      <c r="E45" s="3945" t="str">
        <f>FHD_NUM_P_9</f>
        <v>2.5.1</v>
      </c>
      <c r="F45" s="3961" t="str">
        <f>FHD_P_9</f>
        <v>Средневзвешенная стоимость 1 кВт.ч (с учетом мощности)</v>
      </c>
      <c r="G45" s="3480" t="s">
        <v>586</v>
      </c>
      <c r="H45" s="1057"/>
      <c r="I45" s="1057">
        <v>0</v>
      </c>
      <c r="J45" s="1057">
        <v>0</v>
      </c>
      <c r="K45" s="1057">
        <v>0</v>
      </c>
      <c r="L45" s="1057">
        <v>0</v>
      </c>
      <c r="M45" s="1057">
        <v>0</v>
      </c>
      <c r="N45" s="1057">
        <v>0</v>
      </c>
      <c r="O45" s="1057">
        <v>0</v>
      </c>
      <c r="P45" s="1057">
        <v>0</v>
      </c>
      <c r="Q45" s="1057">
        <v>0</v>
      </c>
      <c r="R45" s="3764" t="str">
        <f>FHD_NOTE_P_9</f>
        <v/>
      </c>
      <c r="S45" s="3473" t="str">
        <f>IF((LEN(E45)-LEN(SUBSTITUTE(E45,".","")))/LEN(".")=1,"p","")</f>
        <v/>
      </c>
      <c r="AN45" s="3432">
        <v>11</v>
      </c>
    </row>
    <row customHeight="1" ht="11.549999999999999">
      <c r="E46" s="3945" t="str">
        <f>FHD_NUM_P_10</f>
        <v>2.5.2</v>
      </c>
      <c r="F46" s="3961" t="str">
        <f>FHD_P_10</f>
        <v>Объём приобретения электрической энергии</v>
      </c>
      <c r="G46" s="3480" t="s">
        <v>587</v>
      </c>
      <c r="H46" s="1057"/>
      <c r="I46" s="1057">
        <v>0</v>
      </c>
      <c r="J46" s="1057">
        <v>0</v>
      </c>
      <c r="K46" s="1057">
        <v>0</v>
      </c>
      <c r="L46" s="1057">
        <v>0</v>
      </c>
      <c r="M46" s="1057">
        <v>0</v>
      </c>
      <c r="N46" s="1057">
        <v>0</v>
      </c>
      <c r="O46" s="1057">
        <v>0</v>
      </c>
      <c r="P46" s="1057">
        <v>0</v>
      </c>
      <c r="Q46" s="1057">
        <v>0</v>
      </c>
      <c r="R46" s="3764" t="str">
        <f>FHD_NOTE_P_10</f>
        <v/>
      </c>
      <c r="S46" s="3473" t="str">
        <f>IF((LEN(E46)-LEN(SUBSTITUTE(E46,".","")))/LEN(".")=1,"p","")</f>
        <v/>
      </c>
      <c r="AN46" s="3449">
        <v>11</v>
      </c>
    </row>
    <row customHeight="1" ht="39.75" hidden="1">
      <c r="A47" s="1069" t="s">
        <v>588</v>
      </c>
      <c r="E47" s="3945" t="str">
        <f>FHD_NUM_P_11</f>
        <v/>
      </c>
      <c r="F47" s="3912" t="str">
        <f>FHD_P_11</f>
        <v/>
      </c>
      <c r="G47" s="3480" t="s">
        <v>567</v>
      </c>
      <c r="H47" s="1057"/>
      <c r="I47" s="1057"/>
      <c r="J47" s="1057"/>
      <c r="K47" s="1057"/>
      <c r="L47" s="1057"/>
      <c r="M47" s="1057"/>
      <c r="N47" s="1057"/>
      <c r="O47" s="1057"/>
      <c r="P47" s="1057"/>
      <c r="Q47" s="1057"/>
      <c r="R47" s="3764" t="str">
        <f>FHD_NOTE_P_11</f>
        <v/>
      </c>
      <c r="S47" s="3473" t="str">
        <f>IF((LEN(E47)-LEN(SUBSTITUTE(E47,".","")))/LEN(".")=1,"p","")</f>
        <v/>
      </c>
      <c r="AN47" s="3449">
        <v>0</v>
      </c>
    </row>
    <row customHeight="1" ht="39.75" hidden="1">
      <c r="A48" s="1069" t="s">
        <v>589</v>
      </c>
      <c r="E48" s="3945" t="str">
        <f>FHD_NUM_P_12</f>
        <v/>
      </c>
      <c r="F48" s="3912" t="str">
        <f>FHD_P_12</f>
        <v/>
      </c>
      <c r="G48" s="3480" t="s">
        <v>567</v>
      </c>
      <c r="H48" s="1070"/>
      <c r="I48" s="1070"/>
      <c r="J48" s="1070"/>
      <c r="K48" s="1070"/>
      <c r="L48" s="1070"/>
      <c r="M48" s="1070"/>
      <c r="N48" s="1070"/>
      <c r="O48" s="1070"/>
      <c r="P48" s="1070"/>
      <c r="Q48" s="1070"/>
      <c r="R48" s="3764" t="str">
        <f>FHD_NOTE_P_12</f>
        <v/>
      </c>
      <c r="S48" s="3473" t="str">
        <f>IF((LEN(E48)-LEN(SUBSTITUTE(E48,".","")))/LEN(".")=1,"p","")</f>
        <v/>
      </c>
      <c r="AN48" s="3449">
        <v>18</v>
      </c>
    </row>
    <row customHeight="1" ht="11.549999999999999">
      <c r="E49" s="3945" t="str">
        <f>FHD_NUM_P_13</f>
        <v>2.6</v>
      </c>
      <c r="F49" s="39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480" t="s">
        <v>567</v>
      </c>
      <c r="H49" s="1057"/>
      <c r="I49" s="1057">
        <v>0</v>
      </c>
      <c r="J49" s="1057">
        <v>0</v>
      </c>
      <c r="K49" s="1057">
        <v>0</v>
      </c>
      <c r="L49" s="1057">
        <v>0</v>
      </c>
      <c r="M49" s="1057">
        <v>0</v>
      </c>
      <c r="N49" s="1057">
        <v>0</v>
      </c>
      <c r="O49" s="1057">
        <v>0</v>
      </c>
      <c r="P49" s="1057">
        <v>0</v>
      </c>
      <c r="Q49" s="1057">
        <v>0</v>
      </c>
      <c r="R49" s="3764" t="str">
        <f>FHD_NOTE_P_13</f>
        <v>Указывается общая сумма расходов на оплату труда и отчислений на социальные нужды основного производственного персонала.</v>
      </c>
      <c r="S49" s="3473" t="str">
        <f>IF((LEN(E49)-LEN(SUBSTITUTE(E49,".","")))/LEN(".")=1,"p","")</f>
        <v>p</v>
      </c>
      <c r="AN49" s="3962">
        <v>11</v>
      </c>
    </row>
    <row customHeight="1" ht="11.549999999999999">
      <c r="E50" s="3945" t="str">
        <f>FHD_NUM_P_14</f>
        <v>2.6.1</v>
      </c>
      <c r="F50" s="3961" t="str">
        <f>FHD_P_14</f>
        <v>Расходы на оплату труда основного производственного персонала</v>
      </c>
      <c r="G50" s="3480" t="s">
        <v>567</v>
      </c>
      <c r="H50" s="1057"/>
      <c r="I50" s="1057">
        <v>0</v>
      </c>
      <c r="J50" s="1057">
        <v>0</v>
      </c>
      <c r="K50" s="1057">
        <v>0</v>
      </c>
      <c r="L50" s="1057">
        <v>0</v>
      </c>
      <c r="M50" s="1057">
        <v>0</v>
      </c>
      <c r="N50" s="1057">
        <v>0</v>
      </c>
      <c r="O50" s="1057">
        <v>0</v>
      </c>
      <c r="P50" s="1057">
        <v>0</v>
      </c>
      <c r="Q50" s="1057">
        <v>0</v>
      </c>
      <c r="R50" s="3764" t="str">
        <f>FHD_NOTE_P_14</f>
        <v/>
      </c>
      <c r="S50" s="3473" t="str">
        <f>IF((LEN(E50)-LEN(SUBSTITUTE(E50,".","")))/LEN(".")=1,"p","")</f>
        <v/>
      </c>
      <c r="AN50" s="3962">
        <v>11</v>
      </c>
    </row>
    <row customHeight="1" ht="11.549999999999999">
      <c r="E51" s="3945" t="str">
        <f>FHD_NUM_P_15</f>
        <v>2.6.2</v>
      </c>
      <c r="F51" s="3961" t="str">
        <f>FHD_P_15</f>
        <v>Страховые взносы на обязательное социальное страхование, выплачиваемые из фонда оплаты труда основного производственного персонала</v>
      </c>
      <c r="G51" s="3480" t="s">
        <v>567</v>
      </c>
      <c r="H51" s="1057"/>
      <c r="I51" s="1057">
        <v>0</v>
      </c>
      <c r="J51" s="1057">
        <v>0</v>
      </c>
      <c r="K51" s="1057">
        <v>0</v>
      </c>
      <c r="L51" s="1057">
        <v>0</v>
      </c>
      <c r="M51" s="1057">
        <v>0</v>
      </c>
      <c r="N51" s="1057">
        <v>0</v>
      </c>
      <c r="O51" s="1057">
        <v>0</v>
      </c>
      <c r="P51" s="1057">
        <v>0</v>
      </c>
      <c r="Q51" s="1057">
        <v>0</v>
      </c>
      <c r="R51" s="3764" t="str">
        <f>FHD_NOTE_P_15</f>
        <v/>
      </c>
      <c r="S51" s="3473" t="str">
        <f>IF((LEN(E51)-LEN(SUBSTITUTE(E51,".","")))/LEN(".")=1,"p","")</f>
        <v/>
      </c>
      <c r="AN51" s="3962">
        <v>11</v>
      </c>
    </row>
    <row customHeight="1" ht="11.549999999999999">
      <c r="E52" s="3945" t="str">
        <f>FHD_NUM_P_16</f>
        <v>2.7</v>
      </c>
      <c r="F52" s="39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3480" t="s">
        <v>567</v>
      </c>
      <c r="H52" s="1057"/>
      <c r="I52" s="1057">
        <v>0</v>
      </c>
      <c r="J52" s="1057">
        <v>0</v>
      </c>
      <c r="K52" s="1057">
        <v>0</v>
      </c>
      <c r="L52" s="1057">
        <v>0</v>
      </c>
      <c r="M52" s="1057">
        <v>0</v>
      </c>
      <c r="N52" s="1057">
        <v>0</v>
      </c>
      <c r="O52" s="1057">
        <v>0</v>
      </c>
      <c r="P52" s="1057">
        <v>0</v>
      </c>
      <c r="Q52" s="1057">
        <v>0</v>
      </c>
      <c r="R52" s="3764" t="str">
        <f>FHD_NOTE_P_16</f>
        <v>Указывается общая сумма расходов на оплату труда и отчислений на социальные нужды административно-управленческого персонала.</v>
      </c>
      <c r="S52" s="3473" t="str">
        <f>IF((LEN(E52)-LEN(SUBSTITUTE(E52,".","")))/LEN(".")=1,"p","")</f>
        <v>p</v>
      </c>
      <c r="AN52" s="3449">
        <v>11</v>
      </c>
    </row>
    <row customHeight="1" ht="11.549999999999999">
      <c r="E53" s="3945" t="str">
        <f>FHD_NUM_P_17</f>
        <v>2.7.1</v>
      </c>
      <c r="F53" s="3961" t="str">
        <f>FHD_P_17</f>
        <v>Расходы на оплату труда административно-управленческого персонала</v>
      </c>
      <c r="G53" s="3480" t="s">
        <v>567</v>
      </c>
      <c r="H53" s="1057"/>
      <c r="I53" s="1057">
        <v>0</v>
      </c>
      <c r="J53" s="1057">
        <v>0</v>
      </c>
      <c r="K53" s="1057">
        <v>0</v>
      </c>
      <c r="L53" s="1057">
        <v>0</v>
      </c>
      <c r="M53" s="1057">
        <v>0</v>
      </c>
      <c r="N53" s="1057">
        <v>0</v>
      </c>
      <c r="O53" s="1057">
        <v>0</v>
      </c>
      <c r="P53" s="1057">
        <v>0</v>
      </c>
      <c r="Q53" s="1057">
        <v>0</v>
      </c>
      <c r="R53" s="3764" t="str">
        <f>FHD_NOTE_P_17</f>
        <v/>
      </c>
      <c r="S53" s="3473" t="str">
        <f>IF((LEN(E53)-LEN(SUBSTITUTE(E53,".","")))/LEN(".")=1,"p","")</f>
        <v/>
      </c>
      <c r="AN53" s="3449">
        <v>11</v>
      </c>
    </row>
    <row customHeight="1" ht="11.549999999999999">
      <c r="E54" s="3945" t="str">
        <f>FHD_NUM_P_18</f>
        <v>2.7.2</v>
      </c>
      <c r="F54" s="39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480" t="s">
        <v>567</v>
      </c>
      <c r="H54" s="1057"/>
      <c r="I54" s="1057">
        <v>0</v>
      </c>
      <c r="J54" s="1057">
        <v>0</v>
      </c>
      <c r="K54" s="1057">
        <v>0</v>
      </c>
      <c r="L54" s="1057">
        <v>0</v>
      </c>
      <c r="M54" s="1057">
        <v>0</v>
      </c>
      <c r="N54" s="1057">
        <v>0</v>
      </c>
      <c r="O54" s="1057">
        <v>0</v>
      </c>
      <c r="P54" s="1057">
        <v>0</v>
      </c>
      <c r="Q54" s="1057">
        <v>0</v>
      </c>
      <c r="R54" s="3764" t="str">
        <f>FHD_NOTE_P_18</f>
        <v/>
      </c>
      <c r="S54" s="3473" t="str">
        <f>IF((LEN(E54)-LEN(SUBSTITUTE(E54,".","")))/LEN(".")=1,"p","")</f>
        <v/>
      </c>
      <c r="AN54" s="3449">
        <v>11</v>
      </c>
    </row>
    <row customHeight="1" ht="11.549999999999999">
      <c r="E55" s="3945" t="str">
        <f>FHD_NUM_P_19</f>
        <v>2.8</v>
      </c>
      <c r="F55" s="3912" t="str">
        <f>FHD_P_19</f>
        <v>Расходы на амортизацию основных средств и нематериальных активов</v>
      </c>
      <c r="G55" s="3480" t="s">
        <v>567</v>
      </c>
      <c r="H55" s="1057"/>
      <c r="I55" s="1057">
        <v>0</v>
      </c>
      <c r="J55" s="1057">
        <v>0</v>
      </c>
      <c r="K55" s="1057">
        <v>0</v>
      </c>
      <c r="L55" s="1057">
        <v>0</v>
      </c>
      <c r="M55" s="1057">
        <v>0</v>
      </c>
      <c r="N55" s="1057">
        <v>0</v>
      </c>
      <c r="O55" s="1057">
        <v>0</v>
      </c>
      <c r="P55" s="1057">
        <v>0</v>
      </c>
      <c r="Q55" s="1057">
        <v>0</v>
      </c>
      <c r="R55" s="3764" t="str">
        <f>FHD_NOTE_P_19</f>
        <v/>
      </c>
      <c r="S55" s="3473" t="str">
        <f>IF((LEN(E55)-LEN(SUBSTITUTE(E55,".","")))/LEN(".")=1,"p","")</f>
        <v>p</v>
      </c>
      <c r="AN55" s="3449">
        <v>11</v>
      </c>
    </row>
    <row customHeight="1" ht="11.549999999999999">
      <c r="E56" s="3945" t="str">
        <f>FHD_NUM_P_20</f>
        <v>2.8.1</v>
      </c>
      <c r="F56" s="3961" t="str">
        <f>FHD_P_20</f>
        <v>Расходы на амортизацию основных средств</v>
      </c>
      <c r="G56" s="3480" t="s">
        <v>567</v>
      </c>
      <c r="H56" s="1057"/>
      <c r="I56" s="1057">
        <v>0</v>
      </c>
      <c r="J56" s="1057">
        <v>0</v>
      </c>
      <c r="K56" s="1057">
        <v>0</v>
      </c>
      <c r="L56" s="1057">
        <v>0</v>
      </c>
      <c r="M56" s="1057">
        <v>0</v>
      </c>
      <c r="N56" s="1057">
        <v>0</v>
      </c>
      <c r="O56" s="1057">
        <v>0</v>
      </c>
      <c r="P56" s="1057">
        <v>0</v>
      </c>
      <c r="Q56" s="1057">
        <v>0</v>
      </c>
      <c r="R56" s="3764" t="str">
        <f>FHD_NOTE_P_20</f>
        <v/>
      </c>
      <c r="S56" s="3473" t="str">
        <f>IF((LEN(E56)-LEN(SUBSTITUTE(E56,".","")))/LEN(".")=1,"p","")</f>
        <v/>
      </c>
      <c r="AN56" s="3449">
        <v>11</v>
      </c>
    </row>
    <row customHeight="1" ht="11.549999999999999">
      <c r="E57" s="3945" t="str">
        <f>FHD_NUM_P_21</f>
        <v>2.8.2</v>
      </c>
      <c r="F57" s="3961" t="str">
        <f>FHD_P_21</f>
        <v>Расходы на амортизацию нематериальных активов</v>
      </c>
      <c r="G57" s="3480" t="s">
        <v>567</v>
      </c>
      <c r="H57" s="1057"/>
      <c r="I57" s="1057">
        <v>0</v>
      </c>
      <c r="J57" s="1057">
        <v>0</v>
      </c>
      <c r="K57" s="1057">
        <v>0</v>
      </c>
      <c r="L57" s="1057">
        <v>0</v>
      </c>
      <c r="M57" s="1057">
        <v>0</v>
      </c>
      <c r="N57" s="1057">
        <v>0</v>
      </c>
      <c r="O57" s="1057">
        <v>0</v>
      </c>
      <c r="P57" s="1057">
        <v>0</v>
      </c>
      <c r="Q57" s="1057">
        <v>0</v>
      </c>
      <c r="R57" s="3764" t="str">
        <f>FHD_NOTE_P_21</f>
        <v/>
      </c>
      <c r="S57" s="3473" t="str">
        <f>IF((LEN(E57)-LEN(SUBSTITUTE(E57,".","")))/LEN(".")=1,"p","")</f>
        <v/>
      </c>
      <c r="AN57" s="3449">
        <v>11</v>
      </c>
    </row>
    <row customHeight="1" ht="11.549999999999999">
      <c r="E58" s="3945" t="str">
        <f>FHD_NUM_P_22</f>
        <v>2.9</v>
      </c>
      <c r="F58" s="3912" t="str">
        <f>FHD_P_22</f>
        <v>Расходы на аренду имущества, используемого для осуществления регулируемых видов деятельности в сфере горячего водоснабжения</v>
      </c>
      <c r="G58" s="3480" t="s">
        <v>567</v>
      </c>
      <c r="H58" s="1057"/>
      <c r="I58" s="1057">
        <v>0</v>
      </c>
      <c r="J58" s="1057">
        <v>0</v>
      </c>
      <c r="K58" s="1057">
        <v>0</v>
      </c>
      <c r="L58" s="1057">
        <v>0</v>
      </c>
      <c r="M58" s="1057">
        <v>0</v>
      </c>
      <c r="N58" s="1057">
        <v>0</v>
      </c>
      <c r="O58" s="1057">
        <v>0</v>
      </c>
      <c r="P58" s="1057">
        <v>0</v>
      </c>
      <c r="Q58" s="1057">
        <v>0</v>
      </c>
      <c r="R58" s="3764" t="str">
        <f>FHD_NOTE_P_22</f>
        <v/>
      </c>
      <c r="S58" s="3473" t="str">
        <f>IF((LEN(E58)-LEN(SUBSTITUTE(E58,".","")))/LEN(".")=1,"p","")</f>
        <v>p</v>
      </c>
      <c r="AN58" s="3449">
        <v>11</v>
      </c>
    </row>
    <row customHeight="1" ht="11.549999999999999">
      <c r="E59" s="3945" t="str">
        <f>FHD_NUM_P_23</f>
        <v>2.10</v>
      </c>
      <c r="F59" s="3912" t="str">
        <f>FHD_P_23</f>
        <v>Общепроизводственные расходы, в том числе:</v>
      </c>
      <c r="G59" s="3480" t="s">
        <v>567</v>
      </c>
      <c r="H59" s="1057"/>
      <c r="I59" s="1057">
        <v>0</v>
      </c>
      <c r="J59" s="1057">
        <v>0</v>
      </c>
      <c r="K59" s="1057">
        <v>0</v>
      </c>
      <c r="L59" s="1057">
        <v>0</v>
      </c>
      <c r="M59" s="1057">
        <v>0</v>
      </c>
      <c r="N59" s="1057">
        <v>0</v>
      </c>
      <c r="O59" s="1057">
        <v>0</v>
      </c>
      <c r="P59" s="1057">
        <v>0</v>
      </c>
      <c r="Q59" s="1057">
        <v>0</v>
      </c>
      <c r="R59" s="3764" t="str">
        <f>FHD_NOTE_P_23</f>
        <v>Указывается общая сумма общепроизводственных расходов.</v>
      </c>
      <c r="S59" s="3473" t="str">
        <f>IF((LEN(E59)-LEN(SUBSTITUTE(E59,".","")))/LEN(".")=1,"p","")</f>
        <v>p</v>
      </c>
      <c r="AN59" s="3449">
        <v>11</v>
      </c>
    </row>
    <row customHeight="1" ht="11.549999999999999">
      <c r="E60" s="3945" t="str">
        <f>FHD_NUM_P_24</f>
        <v>2.10.1</v>
      </c>
      <c r="F60" s="3961" t="str">
        <f>FHD_P_24</f>
        <v>Расходы на текущий ремонт</v>
      </c>
      <c r="G60" s="3480" t="s">
        <v>567</v>
      </c>
      <c r="H60" s="1057"/>
      <c r="I60" s="1057">
        <v>0</v>
      </c>
      <c r="J60" s="1057">
        <v>0</v>
      </c>
      <c r="K60" s="1057">
        <v>0</v>
      </c>
      <c r="L60" s="1057">
        <v>0</v>
      </c>
      <c r="M60" s="1057">
        <v>0</v>
      </c>
      <c r="N60" s="1057">
        <v>0</v>
      </c>
      <c r="O60" s="1057">
        <v>0</v>
      </c>
      <c r="P60" s="1057">
        <v>0</v>
      </c>
      <c r="Q60" s="1057">
        <v>0</v>
      </c>
      <c r="R60" s="3764" t="str">
        <f>FHD_NOTE_P_24</f>
        <v>Указываются расходы на текущий ремонт, отнесенные к общепроизводственным расходам.</v>
      </c>
      <c r="S60" s="3473" t="str">
        <f>IF((LEN(E60)-LEN(SUBSTITUTE(E60,".","")))/LEN(".")=1,"p","")</f>
        <v/>
      </c>
      <c r="AN60" s="3449">
        <v>11</v>
      </c>
    </row>
    <row customHeight="1" ht="11.549999999999999">
      <c r="E61" s="3945" t="str">
        <f>FHD_NUM_P_25</f>
        <v>2.10.2</v>
      </c>
      <c r="F61" s="3961" t="str">
        <f>FHD_P_25</f>
        <v>Расходы на капитальный ремонт</v>
      </c>
      <c r="G61" s="3480" t="s">
        <v>567</v>
      </c>
      <c r="H61" s="1057"/>
      <c r="I61" s="1057">
        <v>0</v>
      </c>
      <c r="J61" s="1057">
        <v>0</v>
      </c>
      <c r="K61" s="1057">
        <v>0</v>
      </c>
      <c r="L61" s="1057">
        <v>0</v>
      </c>
      <c r="M61" s="1057">
        <v>0</v>
      </c>
      <c r="N61" s="1057">
        <v>0</v>
      </c>
      <c r="O61" s="1057">
        <v>0</v>
      </c>
      <c r="P61" s="1057">
        <v>0</v>
      </c>
      <c r="Q61" s="1057">
        <v>0</v>
      </c>
      <c r="R61" s="3764" t="str">
        <f>FHD_NOTE_P_25</f>
        <v>Указываются расходы на капитальный ремонт, отнесенные к общепроизводственным расходам.</v>
      </c>
      <c r="S61" s="3473" t="str">
        <f>IF((LEN(E61)-LEN(SUBSTITUTE(E61,".","")))/LEN(".")=1,"p","")</f>
        <v/>
      </c>
      <c r="AN61" s="3449">
        <v>11</v>
      </c>
    </row>
    <row customHeight="1" ht="11.549999999999999">
      <c r="E62" s="3945" t="str">
        <f>FHD_NUM_P_26</f>
        <v>2.11</v>
      </c>
      <c r="F62" s="3912" t="str">
        <f>FHD_P_26</f>
        <v>Общехозяйственные расходы, в том числе:</v>
      </c>
      <c r="G62" s="3480" t="s">
        <v>567</v>
      </c>
      <c r="H62" s="1057"/>
      <c r="I62" s="1057">
        <v>0</v>
      </c>
      <c r="J62" s="1057">
        <v>0</v>
      </c>
      <c r="K62" s="1057">
        <v>0</v>
      </c>
      <c r="L62" s="1057">
        <v>0</v>
      </c>
      <c r="M62" s="1057">
        <v>0</v>
      </c>
      <c r="N62" s="1057">
        <v>0</v>
      </c>
      <c r="O62" s="1057">
        <v>0</v>
      </c>
      <c r="P62" s="1057">
        <v>0</v>
      </c>
      <c r="Q62" s="1057">
        <v>0</v>
      </c>
      <c r="R62" s="3764" t="str">
        <f>FHD_NOTE_P_26</f>
        <v>Указывается общая сумма общехозяйственных расходов.</v>
      </c>
      <c r="S62" s="3473" t="str">
        <f>IF((LEN(E62)-LEN(SUBSTITUTE(E62,".","")))/LEN(".")=1,"p","")</f>
        <v>p</v>
      </c>
      <c r="AN62" s="3449">
        <v>11</v>
      </c>
    </row>
    <row customHeight="1" ht="11.549999999999999">
      <c r="E63" s="3945" t="str">
        <f>FHD_NUM_P_27</f>
        <v>2.11.1</v>
      </c>
      <c r="F63" s="3961" t="str">
        <f>FHD_P_27</f>
        <v>Расходы на текущий ремонт</v>
      </c>
      <c r="G63" s="3480" t="s">
        <v>567</v>
      </c>
      <c r="H63" s="1057"/>
      <c r="I63" s="1057">
        <v>0</v>
      </c>
      <c r="J63" s="1057">
        <v>0</v>
      </c>
      <c r="K63" s="1057">
        <v>0</v>
      </c>
      <c r="L63" s="1057">
        <v>0</v>
      </c>
      <c r="M63" s="1057">
        <v>0</v>
      </c>
      <c r="N63" s="1057">
        <v>0</v>
      </c>
      <c r="O63" s="1057">
        <v>0</v>
      </c>
      <c r="P63" s="1057">
        <v>0</v>
      </c>
      <c r="Q63" s="1057">
        <v>0</v>
      </c>
      <c r="R63" s="3764" t="str">
        <f>FHD_NOTE_P_27</f>
        <v>Указываются расходы на текущий ремонт, отнесенные к общехозяйственным расходам.</v>
      </c>
      <c r="S63" s="3473" t="str">
        <f>IF((LEN(E63)-LEN(SUBSTITUTE(E63,".","")))/LEN(".")=1,"p","")</f>
        <v/>
      </c>
      <c r="AN63" s="3449">
        <v>11</v>
      </c>
    </row>
    <row customHeight="1" ht="11.549999999999999">
      <c r="E64" s="3945" t="str">
        <f>FHD_NUM_P_28</f>
        <v>2.11.2</v>
      </c>
      <c r="F64" s="3961" t="str">
        <f>FHD_P_28</f>
        <v>Расходы на капитальный ремонт</v>
      </c>
      <c r="G64" s="3480" t="s">
        <v>567</v>
      </c>
      <c r="H64" s="1057"/>
      <c r="I64" s="1057">
        <v>0</v>
      </c>
      <c r="J64" s="1057">
        <v>0</v>
      </c>
      <c r="K64" s="1057">
        <v>0</v>
      </c>
      <c r="L64" s="1057">
        <v>0</v>
      </c>
      <c r="M64" s="1057">
        <v>0</v>
      </c>
      <c r="N64" s="1057">
        <v>0</v>
      </c>
      <c r="O64" s="1057">
        <v>0</v>
      </c>
      <c r="P64" s="1057">
        <v>0</v>
      </c>
      <c r="Q64" s="1057">
        <v>0</v>
      </c>
      <c r="R64" s="3764" t="str">
        <f>FHD_NOTE_P_28</f>
        <v>Указываются расходы на капитальный ремонт, отнесенные к общехозяйственным расходам.</v>
      </c>
      <c r="S64" s="3473" t="str">
        <f>IF((LEN(E64)-LEN(SUBSTITUTE(E64,".","")))/LEN(".")=1,"p","")</f>
        <v/>
      </c>
      <c r="AN64" s="3449">
        <v>11</v>
      </c>
    </row>
    <row customHeight="1" ht="39.75">
      <c r="E65" s="3945" t="str">
        <f>FHD_NUM_P_29</f>
        <v>2.12</v>
      </c>
      <c r="F65" s="3912" t="str">
        <f>FHD_P_29</f>
        <v>Расходы на капитальный и текущий ремонт основных средств</v>
      </c>
      <c r="G65" s="3480" t="s">
        <v>567</v>
      </c>
      <c r="H65" s="1057"/>
      <c r="I65" s="1057">
        <v>0</v>
      </c>
      <c r="J65" s="1057">
        <v>0</v>
      </c>
      <c r="K65" s="1057">
        <v>0</v>
      </c>
      <c r="L65" s="1057">
        <v>0</v>
      </c>
      <c r="M65" s="1057">
        <v>0</v>
      </c>
      <c r="N65" s="1057">
        <v>0</v>
      </c>
      <c r="O65" s="1057">
        <v>96.27</v>
      </c>
      <c r="P65" s="1057">
        <v>40.85</v>
      </c>
      <c r="Q65" s="1057">
        <v>0</v>
      </c>
      <c r="R65" s="37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3473" t="str">
        <f>IF((LEN(E65)-LEN(SUBSTITUTE(E65,".","")))/LEN(".")=1,"p","")</f>
        <v>p</v>
      </c>
      <c r="AN65" s="3449">
        <v>11</v>
      </c>
    </row>
    <row customHeight="1" ht="39.75">
      <c r="E66" s="3945" t="str">
        <f>FHD_NUM_P_30</f>
        <v>2.12.1</v>
      </c>
      <c r="F66" s="39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480" t="s">
        <v>321</v>
      </c>
      <c r="H66" s="356" t="s">
        <v>590</v>
      </c>
      <c r="I66" s="356" t="s">
        <v>590</v>
      </c>
      <c r="J66" s="356" t="s">
        <v>590</v>
      </c>
      <c r="K66" s="356" t="s">
        <v>590</v>
      </c>
      <c r="L66" s="356" t="s">
        <v>590</v>
      </c>
      <c r="M66" s="356" t="s">
        <v>590</v>
      </c>
      <c r="N66" s="356" t="s">
        <v>590</v>
      </c>
      <c r="O66" s="356" t="s">
        <v>590</v>
      </c>
      <c r="P66" s="356" t="s">
        <v>590</v>
      </c>
      <c r="Q66" s="356" t="s">
        <v>590</v>
      </c>
      <c r="R66" s="3764" t="str">
        <f>FHD_NOTE_P_30</f>
        <v/>
      </c>
      <c r="S66" s="3473" t="str">
        <f>IF((LEN(E66)-LEN(SUBSTITUTE(E66,".","")))/LEN(".")=1,"p","")</f>
        <v/>
      </c>
      <c r="T66" s="3473">
        <f>_xlfn.IFERROR(MATCH("есть",B_FHD_FLAG_INDEX_1,0),0)</f>
        <v>0</v>
      </c>
      <c r="AN66" s="3449">
        <v>11</v>
      </c>
    </row>
    <row customHeight="1" ht="23.25">
      <c r="A67" s="1058" t="s">
        <v>591</v>
      </c>
      <c r="E67" s="3945" t="str">
        <f>FHD_NUM_P_31</f>
        <v>2.13</v>
      </c>
      <c r="F67" s="39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480" t="s">
        <v>567</v>
      </c>
      <c r="H67" s="1057"/>
      <c r="I67" s="1057">
        <v>0</v>
      </c>
      <c r="J67" s="1057">
        <v>0</v>
      </c>
      <c r="K67" s="1057">
        <v>0</v>
      </c>
      <c r="L67" s="1057">
        <v>0</v>
      </c>
      <c r="M67" s="1057">
        <v>0</v>
      </c>
      <c r="N67" s="1057">
        <v>0</v>
      </c>
      <c r="O67" s="1057">
        <v>0</v>
      </c>
      <c r="P67" s="1057">
        <v>0</v>
      </c>
      <c r="Q67" s="1057">
        <v>0</v>
      </c>
      <c r="R67" s="37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3473" t="str">
        <f>IF((LEN(E67)-LEN(SUBSTITUTE(E67,".","")))/LEN(".")=1,"p","")</f>
        <v>p</v>
      </c>
      <c r="AN67" s="3449">
        <v>22</v>
      </c>
    </row>
    <row customHeight="1" ht="47.25">
      <c r="A68" s="1058"/>
      <c r="E68" s="3945" t="str">
        <f>FHD_NUM_P_32</f>
        <v>2.13.1</v>
      </c>
      <c r="F68" s="396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480" t="s">
        <v>321</v>
      </c>
      <c r="H68" s="356" t="s">
        <v>590</v>
      </c>
      <c r="I68" s="356" t="s">
        <v>590</v>
      </c>
      <c r="J68" s="356" t="s">
        <v>590</v>
      </c>
      <c r="K68" s="356" t="s">
        <v>590</v>
      </c>
      <c r="L68" s="356" t="s">
        <v>590</v>
      </c>
      <c r="M68" s="356" t="s">
        <v>590</v>
      </c>
      <c r="N68" s="356" t="s">
        <v>590</v>
      </c>
      <c r="O68" s="356" t="s">
        <v>590</v>
      </c>
      <c r="P68" s="356" t="s">
        <v>590</v>
      </c>
      <c r="Q68" s="356" t="s">
        <v>590</v>
      </c>
      <c r="R68" s="3764" t="str">
        <f>FHD_NOTE_P_32</f>
        <v/>
      </c>
      <c r="S68" s="3473" t="str">
        <f>IF((LEN(E68)-LEN(SUBSTITUTE(E68,".","")))/LEN(".")=1,"p","")</f>
        <v/>
      </c>
      <c r="T68" s="3473">
        <f>_xlfn.IFERROR(MATCH("есть",B_FHD_FLAG_INDEX_2,0),0)</f>
        <v>0</v>
      </c>
      <c r="AN68" s="3449">
        <v>45</v>
      </c>
    </row>
    <row customHeight="1" ht="11.549999999999999">
      <c r="E69" s="3945" t="str">
        <f>FHD_NUM_P_33</f>
        <v>2.14</v>
      </c>
      <c r="F69" s="391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3558" t="s">
        <v>567</v>
      </c>
      <c r="H69" s="1072">
        <f>SUM(H70:H71)</f>
        <v>0</v>
      </c>
      <c r="I69" s="1072">
        <f>SUM(I70:I71)</f>
        <v>0</v>
      </c>
      <c r="J69" s="1072">
        <f>SUM(J70:J71)</f>
        <v>0</v>
      </c>
      <c r="K69" s="1072">
        <f>SUM(K70:K71)</f>
        <v>0</v>
      </c>
      <c r="L69" s="1072">
        <f>SUM(L70:L71)</f>
        <v>0</v>
      </c>
      <c r="M69" s="1072">
        <f>SUM(M70:M71)</f>
        <v>0</v>
      </c>
      <c r="N69" s="1072">
        <f>SUM(N70:N71)</f>
        <v>0</v>
      </c>
      <c r="O69" s="1072">
        <f>SUM(O70:O71)</f>
        <v>0</v>
      </c>
      <c r="P69" s="1072">
        <f>SUM(P70:P71)</f>
        <v>0</v>
      </c>
      <c r="Q69" s="1072">
        <f>SUM(Q70:Q71)</f>
        <v>0</v>
      </c>
      <c r="R69" s="37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3473" t="str">
        <f>IF((LEN(E69)-LEN(SUBSTITUTE(E69,".","")))/LEN(".")=1,"p","")</f>
        <v>p</v>
      </c>
      <c r="AN69" s="3449">
        <v>11</v>
      </c>
    </row>
    <row customHeight="1" ht="1.05">
      <c r="E70" s="3481" t="str">
        <f>E69&amp;".0"</f>
        <v>2.14.0</v>
      </c>
      <c r="F70" s="3963"/>
      <c r="G70" s="3481"/>
      <c r="H70" s="1074"/>
      <c r="I70" s="1074"/>
      <c r="J70" s="1074"/>
      <c r="K70" s="1074"/>
      <c r="L70" s="1074"/>
      <c r="M70" s="1074"/>
      <c r="N70" s="1074"/>
      <c r="O70" s="1074"/>
      <c r="P70" s="1074"/>
      <c r="Q70" s="1074"/>
      <c r="R70" s="3964"/>
      <c r="S70" s="3473" t="str">
        <f>IF((LEN(E70)-LEN(SUBSTITUTE(E70,".","")))/LEN(".")=1,"p","")</f>
        <v/>
      </c>
      <c r="AN70" s="3473">
        <v>1</v>
      </c>
    </row>
    <row customHeight="1" ht="14.699999999999998">
      <c r="E71" s="1067"/>
      <c r="F71" s="226" t="s">
        <v>592</v>
      </c>
      <c r="G71" s="3727"/>
      <c r="H71" s="3935"/>
      <c r="I71" s="3935"/>
      <c r="J71" s="3935"/>
      <c r="K71" s="3935"/>
      <c r="L71" s="3935"/>
      <c r="M71" s="3935"/>
      <c r="N71" s="3935"/>
      <c r="O71" s="3935"/>
      <c r="P71" s="3935"/>
      <c r="Q71" s="3935"/>
      <c r="R71" s="3793"/>
      <c r="AN71" s="3449">
        <v>14</v>
      </c>
    </row>
    <row customHeight="1" ht="39.75" hidden="1">
      <c r="A72" s="1069" t="s">
        <v>593</v>
      </c>
      <c r="E72" s="3945" t="str">
        <f>FHD_NUM_P_34</f>
        <v/>
      </c>
      <c r="F72" s="3563" t="str">
        <f>FHD_P_34</f>
        <v/>
      </c>
      <c r="G72" s="3480" t="s">
        <v>567</v>
      </c>
      <c r="H72" s="1057"/>
      <c r="I72" s="1057"/>
      <c r="J72" s="1057"/>
      <c r="K72" s="1057"/>
      <c r="L72" s="1057"/>
      <c r="M72" s="1057"/>
      <c r="N72" s="1057"/>
      <c r="O72" s="1057"/>
      <c r="P72" s="1057"/>
      <c r="Q72" s="1057"/>
      <c r="R72" s="3764" t="str">
        <f>FHD_NOTE_P_34</f>
        <v/>
      </c>
      <c r="AN72" s="3449">
        <v>0</v>
      </c>
    </row>
    <row customHeight="1" ht="39.75">
      <c r="E73" s="3945" t="str">
        <f>FHD_NUM_P_35</f>
        <v>3</v>
      </c>
      <c r="F73" s="3563" t="str">
        <f>FHD_P_35</f>
        <v>Чистая прибыль, полученная от регулируемого вида деятельности в сфере горячего водоснабжения, в том числе:</v>
      </c>
      <c r="G73" s="3480" t="s">
        <v>567</v>
      </c>
      <c r="H73" s="1057"/>
      <c r="I73" s="1057">
        <f>I30-I31</f>
        <v>0.00499999999738066</v>
      </c>
      <c r="J73" s="1057">
        <f>J30-J31</f>
        <v>-474.628</v>
      </c>
      <c r="K73" s="1057">
        <f>K30-K31</f>
        <v>0.00200000000040745</v>
      </c>
      <c r="L73" s="1057">
        <f>L30-L31</f>
        <v>0.00100000000020373</v>
      </c>
      <c r="M73" s="1057">
        <f>M30-M31</f>
        <v>0.00100000000020373</v>
      </c>
      <c r="N73" s="1057">
        <f>N30-N31</f>
        <v>20</v>
      </c>
      <c r="O73" s="1057">
        <f>O30-O31</f>
        <v>-25.8530000000001</v>
      </c>
      <c r="P73" s="1057">
        <f>P30-P31</f>
        <v>-21.877</v>
      </c>
      <c r="Q73" s="1057">
        <f>Q30-Q31</f>
        <v>0</v>
      </c>
      <c r="R73" s="3764" t="str">
        <f>FHD_NOTE_P_35</f>
        <v>Указывается общая сумма чистой прибыли, полученной от регулируемого вида деятельности.</v>
      </c>
      <c r="AN73" s="3449">
        <v>19</v>
      </c>
    </row>
    <row customHeight="1" ht="19.95">
      <c r="E74" s="3945" t="str">
        <f>FHD_NUM_P_36</f>
        <v>3.1</v>
      </c>
      <c r="F74" s="39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480" t="s">
        <v>567</v>
      </c>
      <c r="H74" s="1057"/>
      <c r="I74" s="1057">
        <v>0</v>
      </c>
      <c r="J74" s="1057">
        <v>0</v>
      </c>
      <c r="K74" s="1057">
        <v>0</v>
      </c>
      <c r="L74" s="1057">
        <v>0</v>
      </c>
      <c r="M74" s="1057">
        <v>0</v>
      </c>
      <c r="N74" s="1057">
        <v>0</v>
      </c>
      <c r="O74" s="1057">
        <v>0</v>
      </c>
      <c r="P74" s="1057">
        <v>0</v>
      </c>
      <c r="Q74" s="1057">
        <v>0</v>
      </c>
      <c r="R74" s="3764" t="str">
        <f>FHD_NOTE_P_36</f>
        <v/>
      </c>
      <c r="AN74" s="3449">
        <v>19</v>
      </c>
    </row>
    <row customHeight="1" ht="19.95">
      <c r="E75" s="3945" t="str">
        <f>FHD_NUM_P_37</f>
        <v>4</v>
      </c>
      <c r="F75" s="3563" t="str">
        <f>FHD_P_37</f>
        <v>Изменение стоимости основных фондов, в том числе:</v>
      </c>
      <c r="G75" s="3480" t="s">
        <v>567</v>
      </c>
      <c r="H75" s="1057"/>
      <c r="I75" s="1057">
        <v>0</v>
      </c>
      <c r="J75" s="1057">
        <v>0</v>
      </c>
      <c r="K75" s="1057">
        <v>0</v>
      </c>
      <c r="L75" s="1057">
        <v>0</v>
      </c>
      <c r="M75" s="1057">
        <v>0</v>
      </c>
      <c r="N75" s="1057">
        <v>0</v>
      </c>
      <c r="O75" s="1057">
        <v>0</v>
      </c>
      <c r="P75" s="1057">
        <v>0</v>
      </c>
      <c r="Q75" s="1057">
        <v>0</v>
      </c>
      <c r="R75" s="3764" t="str">
        <f>FHD_NOTE_P_37</f>
        <v>Указывается общее изменение стоимости основных фондов.</v>
      </c>
      <c r="AN75" s="3449">
        <v>19</v>
      </c>
    </row>
    <row customHeight="1" ht="19.95">
      <c r="E76" s="3945" t="str">
        <f>FHD_NUM_P_38</f>
        <v>4.1</v>
      </c>
      <c r="F76" s="3912" t="str">
        <f>FHD_P_38</f>
        <v>Изменение стоимости основных фондов за счет их ввода в эксплуатацию (вывода из эксплуатации)</v>
      </c>
      <c r="G76" s="3480" t="s">
        <v>567</v>
      </c>
      <c r="H76" s="1057"/>
      <c r="I76" s="1057">
        <v>0</v>
      </c>
      <c r="J76" s="1057">
        <v>0</v>
      </c>
      <c r="K76" s="1057">
        <v>0</v>
      </c>
      <c r="L76" s="1057">
        <v>0</v>
      </c>
      <c r="M76" s="1057">
        <v>0</v>
      </c>
      <c r="N76" s="1057">
        <v>0</v>
      </c>
      <c r="O76" s="1057">
        <v>0</v>
      </c>
      <c r="P76" s="1057">
        <v>0</v>
      </c>
      <c r="Q76" s="1057">
        <v>0</v>
      </c>
      <c r="R76" s="3764" t="str">
        <f>FHD_NOTE_P_38</f>
        <v>Указываются общее изменение стоимости основных фондов за счет их ввода в эксплуатацию и вывода из эксплуатации.</v>
      </c>
      <c r="AN76" s="3449">
        <v>19</v>
      </c>
    </row>
    <row customHeight="1" ht="19.95">
      <c r="E77" s="3945" t="str">
        <f>FHD_NUM_P_39</f>
        <v>4.1.1</v>
      </c>
      <c r="F77" s="3961" t="str">
        <f>FHD_P_39</f>
        <v>Изменение стоимости основных фондов за счет их ввода в эксплуатацию</v>
      </c>
      <c r="G77" s="3558" t="s">
        <v>567</v>
      </c>
      <c r="H77" s="1057"/>
      <c r="I77" s="1057">
        <v>0</v>
      </c>
      <c r="J77" s="1057">
        <v>0</v>
      </c>
      <c r="K77" s="1057">
        <v>0</v>
      </c>
      <c r="L77" s="1057">
        <v>0</v>
      </c>
      <c r="M77" s="1057">
        <v>0</v>
      </c>
      <c r="N77" s="1057">
        <v>0</v>
      </c>
      <c r="O77" s="1057">
        <v>0</v>
      </c>
      <c r="P77" s="1057">
        <v>0</v>
      </c>
      <c r="Q77" s="1057">
        <v>0</v>
      </c>
      <c r="R77" s="3764" t="str">
        <f>FHD_NOTE_P_39</f>
        <v>Указываются изменение стоимости основных фондов за счет их ввода в эксплуатацию.</v>
      </c>
      <c r="AN77" s="3449">
        <v>19</v>
      </c>
    </row>
    <row customHeight="1" ht="19.95">
      <c r="E78" s="3945" t="str">
        <f>FHD_NUM_P_40</f>
        <v>4.1.2</v>
      </c>
      <c r="F78" s="3965" t="str">
        <f>FHD_P_40</f>
        <v>Изменение стоимости основных фондов за счет их вывода в эксплуатацию</v>
      </c>
      <c r="G78" s="3480" t="s">
        <v>567</v>
      </c>
      <c r="H78" s="1077"/>
      <c r="I78" s="1057">
        <v>0</v>
      </c>
      <c r="J78" s="1077">
        <v>0</v>
      </c>
      <c r="K78" s="1077">
        <v>0</v>
      </c>
      <c r="L78" s="1077">
        <v>0</v>
      </c>
      <c r="M78" s="1077">
        <v>0</v>
      </c>
      <c r="N78" s="1077">
        <v>0</v>
      </c>
      <c r="O78" s="1077">
        <v>0</v>
      </c>
      <c r="P78" s="1077">
        <v>0</v>
      </c>
      <c r="Q78" s="1077">
        <v>0</v>
      </c>
      <c r="R78" s="3764" t="str">
        <f>FHD_NOTE_P_40</f>
        <v>Указываются изменение стоимости основных фондов за счет их вывода из эксплуатации.</v>
      </c>
      <c r="AN78" s="3449">
        <v>19</v>
      </c>
    </row>
    <row customHeight="1" ht="19.95">
      <c r="E79" s="3945" t="str">
        <f>FHD_NUM_P_41</f>
        <v>4.2</v>
      </c>
      <c r="F79" s="3966" t="str">
        <f>FHD_P_41</f>
        <v>Изменение стоимости основных фондов за счет их переоценки</v>
      </c>
      <c r="G79" s="3480" t="s">
        <v>567</v>
      </c>
      <c r="H79" s="1077"/>
      <c r="I79" s="1057">
        <v>0</v>
      </c>
      <c r="J79" s="1077">
        <v>0</v>
      </c>
      <c r="K79" s="1077">
        <v>0</v>
      </c>
      <c r="L79" s="1077">
        <v>0</v>
      </c>
      <c r="M79" s="1077">
        <v>0</v>
      </c>
      <c r="N79" s="1077">
        <v>0</v>
      </c>
      <c r="O79" s="1077">
        <v>0</v>
      </c>
      <c r="P79" s="1077">
        <v>0</v>
      </c>
      <c r="Q79" s="1077">
        <v>0</v>
      </c>
      <c r="R79" s="3764" t="str">
        <f>FHD_NOTE_P_41</f>
        <v/>
      </c>
      <c r="AN79" s="3449">
        <v>19</v>
      </c>
    </row>
    <row customHeight="1" ht="19.95">
      <c r="A80" s="1069" t="s">
        <v>594</v>
      </c>
      <c r="E80" s="3945" t="str">
        <f>FHD_NUM_P_42</f>
        <v>5</v>
      </c>
      <c r="F80" s="3569" t="str">
        <f>FHD_P_42</f>
        <v>Валовая прибыль (убытки) от продажи товаров и услуг по регулируемым видам деятельности в сфере горячего водоснабжения</v>
      </c>
      <c r="G80" s="3480" t="s">
        <v>567</v>
      </c>
      <c r="H80" s="1077"/>
      <c r="I80" s="1057">
        <v>0</v>
      </c>
      <c r="J80" s="1077">
        <v>0</v>
      </c>
      <c r="K80" s="1077">
        <v>0</v>
      </c>
      <c r="L80" s="1077">
        <v>0</v>
      </c>
      <c r="M80" s="1077">
        <v>0</v>
      </c>
      <c r="N80" s="1077">
        <v>0</v>
      </c>
      <c r="O80" s="1077">
        <v>0</v>
      </c>
      <c r="P80" s="1077">
        <v>0</v>
      </c>
      <c r="Q80" s="1077">
        <v>0</v>
      </c>
      <c r="R80" s="3764" t="str">
        <f>FHD_NOTE_P_42</f>
        <v/>
      </c>
      <c r="AN80" s="3449">
        <v>19</v>
      </c>
    </row>
    <row customHeight="1" ht="20.25">
      <c r="E81" s="3945" t="str">
        <f>FHD_NUM_P_43</f>
        <v>6</v>
      </c>
      <c r="F81" s="3563" t="str">
        <f>FHD_P_43</f>
        <v>Годовая бухгалтерская (финансовая) отчетность, включая бухгалтерский баланс и приложения к нему</v>
      </c>
      <c r="G81" s="3483" t="s">
        <v>321</v>
      </c>
      <c r="H81" s="1079"/>
      <c r="I81" s="6409" t="s">
        <v>595</v>
      </c>
      <c r="J81" s="6410" t="s">
        <v>595</v>
      </c>
      <c r="K81" s="6410" t="s">
        <v>595</v>
      </c>
      <c r="L81" s="6410" t="s">
        <v>595</v>
      </c>
      <c r="M81" s="6410" t="s">
        <v>595</v>
      </c>
      <c r="N81" s="6410" t="s">
        <v>595</v>
      </c>
      <c r="O81" s="6410" t="s">
        <v>595</v>
      </c>
      <c r="P81" s="6410" t="s">
        <v>595</v>
      </c>
      <c r="Q81" s="6410" t="s">
        <v>595</v>
      </c>
      <c r="R81" s="376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AN81" s="3449">
        <v>19</v>
      </c>
    </row>
    <row customHeight="1" ht="39.75" hidden="1">
      <c r="A82" s="1058" t="s">
        <v>596</v>
      </c>
      <c r="E82" s="3945" t="str">
        <f>FHD_NUM_P_44</f>
        <v/>
      </c>
      <c r="F82" s="3563" t="str">
        <f>FHD_P_44</f>
        <v/>
      </c>
      <c r="G82" s="3480" t="s">
        <v>597</v>
      </c>
      <c r="H82" s="1080"/>
      <c r="I82" s="1070"/>
      <c r="J82" s="1080"/>
      <c r="K82" s="1080"/>
      <c r="L82" s="1080"/>
      <c r="M82" s="1080"/>
      <c r="N82" s="1080"/>
      <c r="O82" s="1080"/>
      <c r="P82" s="1080"/>
      <c r="Q82" s="1080"/>
      <c r="R82" s="3764" t="str">
        <f>FHD_NOTE_P_44</f>
        <v/>
      </c>
      <c r="AN82" s="3449">
        <v>0</v>
      </c>
    </row>
    <row customHeight="1" ht="39.75" hidden="1">
      <c r="A83" s="1058"/>
      <c r="E83" s="3945" t="str">
        <f>FHD_NUM_P_45</f>
        <v/>
      </c>
      <c r="F83" s="3563" t="str">
        <f>FHD_P_45</f>
        <v/>
      </c>
      <c r="G83" s="3480" t="s">
        <v>597</v>
      </c>
      <c r="H83" s="1080"/>
      <c r="I83" s="1070"/>
      <c r="J83" s="1080"/>
      <c r="K83" s="1080"/>
      <c r="L83" s="1080"/>
      <c r="M83" s="1080"/>
      <c r="N83" s="1080"/>
      <c r="O83" s="1080"/>
      <c r="P83" s="1080"/>
      <c r="Q83" s="1080"/>
      <c r="R83" s="3764" t="str">
        <f>FHD_NOTE_P_45</f>
        <v/>
      </c>
      <c r="AN83" s="3449">
        <v>0</v>
      </c>
    </row>
    <row customHeight="1" ht="39.75" hidden="1">
      <c r="A84" s="1058"/>
      <c r="E84" s="3945" t="str">
        <f>FHD_NUM_P_46</f>
        <v/>
      </c>
      <c r="F84" s="3563" t="str">
        <f>FHD_P_46</f>
        <v/>
      </c>
      <c r="G84" s="3480" t="s">
        <v>597</v>
      </c>
      <c r="H84" s="1080"/>
      <c r="I84" s="1070"/>
      <c r="J84" s="1080"/>
      <c r="K84" s="1080"/>
      <c r="L84" s="1080"/>
      <c r="M84" s="1080"/>
      <c r="N84" s="1080"/>
      <c r="O84" s="1080"/>
      <c r="P84" s="1080"/>
      <c r="Q84" s="1080"/>
      <c r="R84" s="3764" t="str">
        <f>FHD_NOTE_P_46</f>
        <v/>
      </c>
      <c r="AN84" s="3449">
        <v>0</v>
      </c>
    </row>
    <row customHeight="1" ht="39.75" hidden="1">
      <c r="A85" s="1058"/>
      <c r="E85" s="3945" t="str">
        <f>FHD_NUM_P_47</f>
        <v/>
      </c>
      <c r="F85" s="3563" t="str">
        <f>FHD_P_47</f>
        <v/>
      </c>
      <c r="G85" s="3480" t="s">
        <v>597</v>
      </c>
      <c r="H85" s="1080"/>
      <c r="I85" s="1070"/>
      <c r="J85" s="1080"/>
      <c r="K85" s="1080"/>
      <c r="L85" s="1080"/>
      <c r="M85" s="1080"/>
      <c r="N85" s="1080"/>
      <c r="O85" s="1080"/>
      <c r="P85" s="1080"/>
      <c r="Q85" s="1080"/>
      <c r="R85" s="3764" t="str">
        <f>FHD_NOTE_P_47</f>
        <v/>
      </c>
      <c r="AN85" s="3449">
        <v>0</v>
      </c>
    </row>
    <row customHeight="1" ht="39.75" hidden="1">
      <c r="A86" s="1058"/>
      <c r="E86" s="3945" t="str">
        <f>FHD_NUM_P_48</f>
        <v/>
      </c>
      <c r="F86" s="3563" t="str">
        <f>FHD_P_48</f>
        <v/>
      </c>
      <c r="G86" s="3480" t="s">
        <v>597</v>
      </c>
      <c r="H86" s="1080"/>
      <c r="I86" s="1070"/>
      <c r="J86" s="1080"/>
      <c r="K86" s="1080"/>
      <c r="L86" s="1080"/>
      <c r="M86" s="1080"/>
      <c r="N86" s="1080"/>
      <c r="O86" s="1080"/>
      <c r="P86" s="1080"/>
      <c r="Q86" s="1080"/>
      <c r="R86" s="3764" t="str">
        <f>FHD_NOTE_P_48</f>
        <v/>
      </c>
      <c r="AN86" s="3432">
        <v>0</v>
      </c>
    </row>
    <row customHeight="1" ht="39.75" hidden="1">
      <c r="A87" s="1058"/>
      <c r="E87" s="3945" t="str">
        <f>FHD_NUM_P_49</f>
        <v/>
      </c>
      <c r="F87" s="3563" t="str">
        <f>FHD_P_49</f>
        <v/>
      </c>
      <c r="G87" s="3480" t="s">
        <v>597</v>
      </c>
      <c r="H87" s="1081">
        <f>SUM(H88:H89)</f>
        <v>0</v>
      </c>
      <c r="I87" s="1082">
        <f>SUM(I88:I89)</f>
        <v>0</v>
      </c>
      <c r="J87" s="1081">
        <f>SUM(J88:J89)</f>
        <v>0</v>
      </c>
      <c r="K87" s="1081">
        <f>SUM(K88:K89)</f>
        <v>0</v>
      </c>
      <c r="L87" s="1081">
        <f>SUM(L88:L89)</f>
        <v>0</v>
      </c>
      <c r="M87" s="1081">
        <f>SUM(M88:M89)</f>
        <v>0</v>
      </c>
      <c r="N87" s="1081">
        <f>SUM(N88:N89)</f>
        <v>0</v>
      </c>
      <c r="O87" s="1081">
        <f>SUM(O88:O89)</f>
        <v>0</v>
      </c>
      <c r="P87" s="1081">
        <f>SUM(P88:P89)</f>
        <v>0</v>
      </c>
      <c r="Q87" s="1081">
        <f>SUM(Q88:Q89)</f>
        <v>0</v>
      </c>
      <c r="R87" s="3764" t="str">
        <f>FHD_NOTE_P_49</f>
        <v/>
      </c>
      <c r="AN87" s="3432">
        <v>0</v>
      </c>
    </row>
    <row customHeight="1" ht="39.75" hidden="1">
      <c r="A88" s="1058"/>
      <c r="E88" s="3945" t="str">
        <f>FHD_NUM_P_50</f>
        <v/>
      </c>
      <c r="F88" s="3563" t="str">
        <f>FHD_P_50</f>
        <v/>
      </c>
      <c r="G88" s="3480" t="s">
        <v>597</v>
      </c>
      <c r="H88" s="1080"/>
      <c r="I88" s="1070"/>
      <c r="J88" s="1080"/>
      <c r="K88" s="1080"/>
      <c r="L88" s="1080"/>
      <c r="M88" s="1080"/>
      <c r="N88" s="1080"/>
      <c r="O88" s="1080"/>
      <c r="P88" s="1080"/>
      <c r="Q88" s="1080"/>
      <c r="R88" s="3764" t="str">
        <f>FHD_NOTE_P_50</f>
        <v/>
      </c>
      <c r="AN88" s="3432">
        <v>0</v>
      </c>
    </row>
    <row customHeight="1" ht="39.75" hidden="1">
      <c r="A89" s="1058"/>
      <c r="E89" s="3945" t="str">
        <f>FHD_NUM_P_51</f>
        <v/>
      </c>
      <c r="F89" s="3563" t="str">
        <f>FHD_P_51</f>
        <v/>
      </c>
      <c r="G89" s="3480" t="s">
        <v>597</v>
      </c>
      <c r="H89" s="1080"/>
      <c r="I89" s="1070"/>
      <c r="J89" s="1080"/>
      <c r="K89" s="1080"/>
      <c r="L89" s="1080"/>
      <c r="M89" s="1080"/>
      <c r="N89" s="1080"/>
      <c r="O89" s="1080"/>
      <c r="P89" s="1080"/>
      <c r="Q89" s="1080"/>
      <c r="R89" s="3764" t="str">
        <f>FHD_NOTE_P_51</f>
        <v/>
      </c>
      <c r="AN89" s="3432">
        <v>0</v>
      </c>
    </row>
    <row customHeight="1" ht="39.75" hidden="1">
      <c r="A90" s="1058"/>
      <c r="E90" s="3945" t="str">
        <f>FHD_NUM_P_52</f>
        <v/>
      </c>
      <c r="F90" s="3563" t="str">
        <f>FHD_P_52</f>
        <v/>
      </c>
      <c r="G90" s="3480" t="s">
        <v>573</v>
      </c>
      <c r="H90" s="1077"/>
      <c r="I90" s="1057"/>
      <c r="J90" s="1077"/>
      <c r="K90" s="1077"/>
      <c r="L90" s="1077"/>
      <c r="M90" s="1077"/>
      <c r="N90" s="1077"/>
      <c r="O90" s="1077"/>
      <c r="P90" s="1077"/>
      <c r="Q90" s="1077"/>
      <c r="R90" s="3764" t="str">
        <f>FHD_NOTE_P_52</f>
        <v/>
      </c>
      <c r="AN90" s="3432">
        <v>0</v>
      </c>
    </row>
    <row customHeight="1" ht="29.25">
      <c r="A91" s="1058" t="s">
        <v>598</v>
      </c>
      <c r="E91" s="3945" t="str">
        <f>FHD_NUM_P_53</f>
        <v>7</v>
      </c>
      <c r="F91" s="3563" t="str">
        <f>FHD_P_53</f>
        <v>Объём приобретаемой холодной воды, используемой для горячего водоснабжения</v>
      </c>
      <c r="G91" s="3480" t="s">
        <v>597</v>
      </c>
      <c r="H91" s="1080"/>
      <c r="I91" s="1070">
        <v>207.053</v>
      </c>
      <c r="J91" s="1080">
        <v>13.4</v>
      </c>
      <c r="K91" s="1080">
        <v>141.597</v>
      </c>
      <c r="L91" s="1080">
        <v>115.826</v>
      </c>
      <c r="M91" s="1080">
        <v>41.336</v>
      </c>
      <c r="N91" s="1080">
        <v>306.459</v>
      </c>
      <c r="O91" s="1080">
        <v>19.69</v>
      </c>
      <c r="P91" s="1080">
        <v>1.394</v>
      </c>
      <c r="Q91" s="1080">
        <v>31.234</v>
      </c>
      <c r="R91" s="3764" t="str">
        <f>FHD_NOTE_P_53</f>
        <v/>
      </c>
      <c r="AN91" s="3449">
        <v>0</v>
      </c>
    </row>
    <row customHeight="1" ht="31.5">
      <c r="A92" s="1058"/>
      <c r="E92" s="3945" t="str">
        <f>FHD_NUM_P_54</f>
        <v>8</v>
      </c>
      <c r="F92" s="3563" t="str">
        <f>FHD_P_54</f>
        <v>Объём холодной воды, получаемой с применением собственных источников водозабора (скважин) и используемой для горячего водоснабжения</v>
      </c>
      <c r="G92" s="3480" t="s">
        <v>597</v>
      </c>
      <c r="H92" s="1080"/>
      <c r="I92" s="1070">
        <v>0</v>
      </c>
      <c r="J92" s="1080">
        <v>0</v>
      </c>
      <c r="K92" s="1080">
        <v>0</v>
      </c>
      <c r="L92" s="1080">
        <v>0</v>
      </c>
      <c r="M92" s="1080">
        <v>0</v>
      </c>
      <c r="N92" s="1080">
        <v>0</v>
      </c>
      <c r="O92" s="1080">
        <v>0</v>
      </c>
      <c r="P92" s="1080">
        <v>0</v>
      </c>
      <c r="Q92" s="1080">
        <v>0</v>
      </c>
      <c r="R92" s="3764" t="str">
        <f>FHD_NOTE_P_54</f>
        <v/>
      </c>
      <c r="AN92" s="3449">
        <v>0</v>
      </c>
    </row>
    <row customHeight="1" ht="31.5">
      <c r="A93" s="1058"/>
      <c r="E93" s="3945" t="str">
        <f>FHD_NUM_P_55</f>
        <v>9</v>
      </c>
      <c r="F93" s="3563" t="str">
        <f>FHD_P_55</f>
        <v>Объём приобретаемой тепловой энергии (мощности), используемой для горячего водоснабжения</v>
      </c>
      <c r="G93" s="3907" t="s">
        <v>599</v>
      </c>
      <c r="H93" s="1080"/>
      <c r="I93" s="1070">
        <v>0</v>
      </c>
      <c r="J93" s="1080">
        <v>0</v>
      </c>
      <c r="K93" s="1080">
        <v>0</v>
      </c>
      <c r="L93" s="1080">
        <v>0</v>
      </c>
      <c r="M93" s="1080">
        <v>0</v>
      </c>
      <c r="N93" s="1080">
        <v>0</v>
      </c>
      <c r="O93" s="1080">
        <v>0</v>
      </c>
      <c r="P93" s="1080">
        <v>0</v>
      </c>
      <c r="Q93" s="1080">
        <v>0</v>
      </c>
      <c r="R93" s="3764" t="str">
        <f>FHD_NOTE_P_55</f>
        <v/>
      </c>
      <c r="AN93" s="3449">
        <v>0</v>
      </c>
    </row>
    <row customHeight="1" ht="30.75">
      <c r="A94" s="1058"/>
      <c r="E94" s="3945" t="str">
        <f>FHD_NUM_P_56</f>
        <v>10</v>
      </c>
      <c r="F94" s="3563" t="str">
        <f>FHD_P_56</f>
        <v>Объём тепловой энергии, производимой с применением собственных источников и используемой для горячего водоснабжения</v>
      </c>
      <c r="G94" s="3480" t="s">
        <v>599</v>
      </c>
      <c r="H94" s="1080"/>
      <c r="I94" s="1070">
        <v>24.023</v>
      </c>
      <c r="J94" s="1080">
        <v>0.737</v>
      </c>
      <c r="K94" s="1080">
        <v>9.718</v>
      </c>
      <c r="L94" s="1080">
        <v>8.216</v>
      </c>
      <c r="M94" s="1080">
        <v>2.046</v>
      </c>
      <c r="N94" s="1080">
        <v>20.508</v>
      </c>
      <c r="O94" s="1080">
        <v>1.079</v>
      </c>
      <c r="P94" s="1080">
        <v>0.077</v>
      </c>
      <c r="Q94" s="1080">
        <v>2.576</v>
      </c>
      <c r="R94" s="3764" t="str">
        <f>FHD_NOTE_P_56</f>
        <v/>
      </c>
      <c r="AN94" s="3449">
        <v>0</v>
      </c>
    </row>
    <row customHeight="1" ht="39.75">
      <c r="A95" s="1058"/>
      <c r="E95" s="3945" t="str">
        <f>FHD_NUM_P_57</f>
        <v>11</v>
      </c>
      <c r="F95" s="3563" t="str">
        <f>FHD_P_57</f>
        <v>Потери горячей воды в сетях (процентов)</v>
      </c>
      <c r="G95" s="3480" t="s">
        <v>573</v>
      </c>
      <c r="H95" s="1077"/>
      <c r="I95" s="1057">
        <v>0.05</v>
      </c>
      <c r="J95" s="1077">
        <v>0</v>
      </c>
      <c r="K95" s="1077">
        <v>0.02</v>
      </c>
      <c r="L95" s="1077">
        <v>0.28</v>
      </c>
      <c r="M95" s="1077">
        <v>0.31</v>
      </c>
      <c r="N95" s="1077">
        <v>0.42</v>
      </c>
      <c r="O95" s="1077">
        <v>0.21</v>
      </c>
      <c r="P95" s="1077">
        <v>0.29</v>
      </c>
      <c r="Q95" s="1077">
        <v>0.09</v>
      </c>
      <c r="R95" s="3764" t="str">
        <f>FHD_NOTE_P_57</f>
        <v/>
      </c>
      <c r="AN95" s="3432">
        <v>0</v>
      </c>
    </row>
    <row customHeight="1" ht="39.75" hidden="1">
      <c r="A96" s="1058" t="s">
        <v>600</v>
      </c>
      <c r="E96" s="3945" t="str">
        <f>FHD_NUM_P_58</f>
        <v/>
      </c>
      <c r="F96" s="3563" t="str">
        <f>FHD_P_58</f>
        <v/>
      </c>
      <c r="G96" s="3480" t="s">
        <v>597</v>
      </c>
      <c r="H96" s="1080"/>
      <c r="I96" s="1070"/>
      <c r="J96" s="1080"/>
      <c r="K96" s="1080"/>
      <c r="L96" s="1080"/>
      <c r="M96" s="1080"/>
      <c r="N96" s="1080"/>
      <c r="O96" s="1080"/>
      <c r="P96" s="1080"/>
      <c r="Q96" s="1080"/>
      <c r="R96" s="3764" t="str">
        <f>FHD_NOTE_P_58</f>
        <v/>
      </c>
      <c r="AN96" s="3432">
        <v>0</v>
      </c>
    </row>
    <row customHeight="1" ht="39.75" hidden="1">
      <c r="A97" s="1058"/>
      <c r="E97" s="3945" t="str">
        <f>FHD_NUM_P_59</f>
        <v/>
      </c>
      <c r="F97" s="3563" t="str">
        <f>FHD_P_59</f>
        <v/>
      </c>
      <c r="G97" s="3480" t="s">
        <v>597</v>
      </c>
      <c r="H97" s="1080"/>
      <c r="I97" s="1070"/>
      <c r="J97" s="1080"/>
      <c r="K97" s="1080"/>
      <c r="L97" s="1080"/>
      <c r="M97" s="1080"/>
      <c r="N97" s="1080"/>
      <c r="O97" s="1080"/>
      <c r="P97" s="1080"/>
      <c r="Q97" s="1080"/>
      <c r="R97" s="3764" t="str">
        <f>FHD_NOTE_P_59</f>
        <v/>
      </c>
      <c r="AN97" s="3432">
        <v>0</v>
      </c>
    </row>
    <row customHeight="1" ht="39.75" hidden="1">
      <c r="A98" s="1058"/>
      <c r="E98" s="3945" t="str">
        <f>FHD_NUM_P_60</f>
        <v/>
      </c>
      <c r="F98" s="3563" t="str">
        <f>FHD_P_60</f>
        <v/>
      </c>
      <c r="G98" s="3480" t="s">
        <v>597</v>
      </c>
      <c r="H98" s="1080"/>
      <c r="I98" s="1070"/>
      <c r="J98" s="1080"/>
      <c r="K98" s="1080"/>
      <c r="L98" s="1080"/>
      <c r="M98" s="1080"/>
      <c r="N98" s="1080"/>
      <c r="O98" s="1080"/>
      <c r="P98" s="1080"/>
      <c r="Q98" s="1080"/>
      <c r="R98" s="3764" t="str">
        <f>FHD_NOTE_P_60</f>
        <v/>
      </c>
      <c r="AN98" s="3432">
        <v>0</v>
      </c>
    </row>
    <row customHeight="1" ht="39.75" hidden="1">
      <c r="A99" s="1058" t="s">
        <v>601</v>
      </c>
      <c r="E99" s="3945" t="str">
        <f>FHD_NUM_P_61</f>
        <v/>
      </c>
      <c r="F99" s="3563" t="str">
        <f>FHD_P_61</f>
        <v/>
      </c>
      <c r="G99" s="3480" t="s">
        <v>571</v>
      </c>
      <c r="H99" s="1083"/>
      <c r="I99" s="1084"/>
      <c r="J99" s="1083"/>
      <c r="K99" s="1083"/>
      <c r="L99" s="1083"/>
      <c r="M99" s="1083"/>
      <c r="N99" s="1083"/>
      <c r="O99" s="1083"/>
      <c r="P99" s="1083"/>
      <c r="Q99" s="1083"/>
      <c r="R99" s="3764" t="str">
        <f>FHD_NOTE_P_61</f>
        <v/>
      </c>
      <c r="AN99" s="3449">
        <v>0</v>
      </c>
    </row>
    <row customHeight="1" ht="39.75" hidden="1">
      <c r="A100" s="1058"/>
      <c r="E100" s="3481" t="str">
        <f>E99&amp;".0"</f>
        <v>.0</v>
      </c>
      <c r="F100" s="3967"/>
      <c r="G100" s="3968"/>
      <c r="H100" s="1074"/>
      <c r="I100" s="1074"/>
      <c r="J100" s="1074"/>
      <c r="K100" s="1074"/>
      <c r="L100" s="1074"/>
      <c r="M100" s="1074"/>
      <c r="N100" s="1074"/>
      <c r="O100" s="1074"/>
      <c r="P100" s="1074"/>
      <c r="Q100" s="1074"/>
      <c r="R100" s="3969"/>
      <c r="AN100" s="3473">
        <v>0</v>
      </c>
    </row>
    <row customHeight="1" ht="39.75" hidden="1">
      <c r="A101" s="1058"/>
      <c r="E101" s="1088"/>
      <c r="F101" s="1089" t="s">
        <v>602</v>
      </c>
      <c r="G101" s="3727"/>
      <c r="H101" s="3935"/>
      <c r="I101" s="3935"/>
      <c r="J101" s="3935"/>
      <c r="K101" s="3935"/>
      <c r="L101" s="3935"/>
      <c r="M101" s="3935"/>
      <c r="N101" s="3935"/>
      <c r="O101" s="3935"/>
      <c r="P101" s="3935"/>
      <c r="Q101" s="3935"/>
      <c r="R101" s="3796" t="s">
        <v>603</v>
      </c>
      <c r="AN101" s="3432">
        <v>0</v>
      </c>
    </row>
    <row customHeight="1" ht="39.75" hidden="1">
      <c r="A102" s="1058"/>
      <c r="E102" s="3945" t="str">
        <f>FHD_NUM_P_62</f>
        <v/>
      </c>
      <c r="F102" s="3563" t="str">
        <f>FHD_P_62</f>
        <v/>
      </c>
      <c r="G102" s="3436" t="s">
        <v>571</v>
      </c>
      <c r="H102" s="1057"/>
      <c r="I102" s="1057"/>
      <c r="J102" s="1057"/>
      <c r="K102" s="1057"/>
      <c r="L102" s="1057"/>
      <c r="M102" s="1057"/>
      <c r="N102" s="1057"/>
      <c r="O102" s="1057"/>
      <c r="P102" s="1057"/>
      <c r="Q102" s="1057"/>
      <c r="R102" s="3764" t="str">
        <f>FHD_NOTE_P_62</f>
        <v/>
      </c>
      <c r="AN102" s="3449">
        <v>0</v>
      </c>
    </row>
    <row customHeight="1" ht="39.75" hidden="1">
      <c r="A103" s="1058"/>
      <c r="E103" s="3945" t="str">
        <f>FHD_NUM_P_63</f>
        <v/>
      </c>
      <c r="F103" s="3563" t="str">
        <f>FHD_P_63</f>
        <v/>
      </c>
      <c r="G103" s="3436" t="s">
        <v>599</v>
      </c>
      <c r="H103" s="1070"/>
      <c r="I103" s="1070"/>
      <c r="J103" s="1070"/>
      <c r="K103" s="1070"/>
      <c r="L103" s="1070"/>
      <c r="M103" s="1070"/>
      <c r="N103" s="1070"/>
      <c r="O103" s="1070"/>
      <c r="P103" s="1070"/>
      <c r="Q103" s="1070"/>
      <c r="R103" s="3764" t="str">
        <f>FHD_NOTE_P_63</f>
        <v/>
      </c>
      <c r="AN103" s="3449">
        <v>0</v>
      </c>
    </row>
    <row customHeight="1" ht="39.75" hidden="1">
      <c r="A104" s="1058"/>
      <c r="C104" s="3473" t="s">
        <v>604</v>
      </c>
      <c r="E104" s="3945" t="str">
        <f>FHD_NUM_P_64</f>
        <v/>
      </c>
      <c r="F104" s="3563" t="str">
        <f>FHD_P_64</f>
        <v/>
      </c>
      <c r="G104" s="3436" t="s">
        <v>599</v>
      </c>
      <c r="H104" s="1053"/>
      <c r="I104" s="1053"/>
      <c r="J104" s="1053"/>
      <c r="K104" s="1053"/>
      <c r="L104" s="1053"/>
      <c r="M104" s="1053"/>
      <c r="N104" s="1053"/>
      <c r="O104" s="1053"/>
      <c r="P104" s="1053"/>
      <c r="Q104" s="1053"/>
      <c r="R104" s="3764" t="str">
        <f>FHD_NOTE_P_64</f>
        <v/>
      </c>
      <c r="AN104" s="3449">
        <v>0</v>
      </c>
    </row>
    <row customHeight="1" ht="39.75" hidden="1">
      <c r="A105" s="1058"/>
      <c r="E105" s="3945" t="str">
        <f>FHD_NUM_P_65</f>
        <v/>
      </c>
      <c r="F105" s="3563" t="str">
        <f>FHD_P_65</f>
        <v/>
      </c>
      <c r="G105" s="3436" t="s">
        <v>599</v>
      </c>
      <c r="H105" s="1070"/>
      <c r="I105" s="1070"/>
      <c r="J105" s="1070"/>
      <c r="K105" s="1070"/>
      <c r="L105" s="1070"/>
      <c r="M105" s="1070"/>
      <c r="N105" s="1070"/>
      <c r="O105" s="1070"/>
      <c r="P105" s="1070"/>
      <c r="Q105" s="1070"/>
      <c r="R105" s="3764" t="str">
        <f>FHD_NOTE_P_65</f>
        <v/>
      </c>
      <c r="AN105" s="3449">
        <v>0</v>
      </c>
    </row>
    <row customHeight="1" ht="39.75" hidden="1">
      <c r="A106" s="1058"/>
      <c r="E106" s="3945" t="str">
        <f>FHD_NUM_P_66</f>
        <v/>
      </c>
      <c r="F106" s="3912" t="str">
        <f>FHD_P_66</f>
        <v/>
      </c>
      <c r="G106" s="3436" t="s">
        <v>599</v>
      </c>
      <c r="H106" s="1070"/>
      <c r="I106" s="1070"/>
      <c r="J106" s="1070"/>
      <c r="K106" s="1070"/>
      <c r="L106" s="1070"/>
      <c r="M106" s="1070"/>
      <c r="N106" s="1070"/>
      <c r="O106" s="1070"/>
      <c r="P106" s="1070"/>
      <c r="Q106" s="1070"/>
      <c r="R106" s="3764" t="str">
        <f>FHD_NOTE_P_66</f>
        <v/>
      </c>
      <c r="AN106" s="3449">
        <v>0</v>
      </c>
    </row>
    <row customHeight="1" ht="39.75" hidden="1">
      <c r="A107" s="1058"/>
      <c r="E107" s="3945" t="str">
        <f>FHD_NUM_P_67</f>
        <v/>
      </c>
      <c r="F107" s="3961" t="str">
        <f>FHD_P_67</f>
        <v/>
      </c>
      <c r="G107" s="3436" t="s">
        <v>599</v>
      </c>
      <c r="H107" s="1070"/>
      <c r="I107" s="1070"/>
      <c r="J107" s="1070"/>
      <c r="K107" s="1070"/>
      <c r="L107" s="1070"/>
      <c r="M107" s="1070"/>
      <c r="N107" s="1070"/>
      <c r="O107" s="1070"/>
      <c r="P107" s="1070"/>
      <c r="Q107" s="1070"/>
      <c r="R107" s="3764" t="str">
        <f>FHD_NOTE_P_67</f>
        <v/>
      </c>
      <c r="AN107" s="3449">
        <v>0</v>
      </c>
    </row>
    <row customHeight="1" ht="39.75" hidden="1">
      <c r="A108" s="1058"/>
      <c r="E108" s="3945" t="str">
        <f>FHD_NUM_P_68</f>
        <v/>
      </c>
      <c r="F108" s="3912" t="str">
        <f>FHD_P_68</f>
        <v/>
      </c>
      <c r="G108" s="3436" t="s">
        <v>599</v>
      </c>
      <c r="H108" s="1070"/>
      <c r="I108" s="1070"/>
      <c r="J108" s="1070"/>
      <c r="K108" s="1070"/>
      <c r="L108" s="1070"/>
      <c r="M108" s="1070"/>
      <c r="N108" s="1070"/>
      <c r="O108" s="1070"/>
      <c r="P108" s="1070"/>
      <c r="Q108" s="1070"/>
      <c r="R108" s="3764" t="str">
        <f>FHD_NOTE_P_68</f>
        <v/>
      </c>
      <c r="AN108" s="3449">
        <v>0</v>
      </c>
    </row>
    <row customHeight="1" ht="39.75" hidden="1">
      <c r="A109" s="1058"/>
      <c r="E109" s="3945" t="str">
        <f>FHD_NUM_P_69</f>
        <v/>
      </c>
      <c r="F109" s="3912" t="str">
        <f>FHD_P_69</f>
        <v/>
      </c>
      <c r="G109" s="3436" t="s">
        <v>599</v>
      </c>
      <c r="H109" s="1070"/>
      <c r="I109" s="1070"/>
      <c r="J109" s="1070"/>
      <c r="K109" s="1070"/>
      <c r="L109" s="1070"/>
      <c r="M109" s="1070"/>
      <c r="N109" s="1070"/>
      <c r="O109" s="1070"/>
      <c r="P109" s="1070"/>
      <c r="Q109" s="1070"/>
      <c r="R109" s="3764" t="str">
        <f>FHD_NOTE_P_69</f>
        <v/>
      </c>
      <c r="AN109" s="3449">
        <v>0</v>
      </c>
    </row>
    <row customHeight="1" ht="39.75" hidden="1">
      <c r="A110" s="1058"/>
      <c r="E110" s="3945" t="str">
        <f>FHD_NUM_P_70</f>
        <v/>
      </c>
      <c r="F110" s="3563" t="str">
        <f>FHD_P_70</f>
        <v/>
      </c>
      <c r="G110" s="3436" t="s">
        <v>605</v>
      </c>
      <c r="H110" s="1057"/>
      <c r="I110" s="1057"/>
      <c r="J110" s="1057"/>
      <c r="K110" s="1057"/>
      <c r="L110" s="1057"/>
      <c r="M110" s="1057"/>
      <c r="N110" s="1057"/>
      <c r="O110" s="1057"/>
      <c r="P110" s="1057"/>
      <c r="Q110" s="1057"/>
      <c r="R110" s="3764" t="str">
        <f>FHD_NOTE_P_70</f>
        <v/>
      </c>
      <c r="AN110" s="3449">
        <v>0</v>
      </c>
    </row>
    <row customHeight="1" ht="39.75" hidden="1">
      <c r="A111" s="1058"/>
      <c r="E111" s="3945" t="str">
        <f>FHD_NUM_P_71</f>
        <v/>
      </c>
      <c r="F111" s="3563" t="str">
        <f>FHD_P_71</f>
        <v/>
      </c>
      <c r="G111" s="3436" t="s">
        <v>605</v>
      </c>
      <c r="H111" s="1057"/>
      <c r="I111" s="1057"/>
      <c r="J111" s="1057"/>
      <c r="K111" s="1057"/>
      <c r="L111" s="1057"/>
      <c r="M111" s="1057"/>
      <c r="N111" s="1057"/>
      <c r="O111" s="1057"/>
      <c r="P111" s="1057"/>
      <c r="Q111" s="1057"/>
      <c r="R111" s="3764" t="str">
        <f>FHD_NOTE_P_71</f>
        <v/>
      </c>
      <c r="AN111" s="3449">
        <v>0</v>
      </c>
    </row>
    <row customHeight="1" ht="19.95">
      <c r="E112" s="3945" t="str">
        <f>FHD_NUM_P_72</f>
        <v>12</v>
      </c>
      <c r="F112" s="3563" t="str">
        <f>FHD_P_72</f>
        <v>Среднесписочная численность основного производственного персонала</v>
      </c>
      <c r="G112" s="3436" t="s">
        <v>606</v>
      </c>
      <c r="H112" s="1070"/>
      <c r="I112" s="1070">
        <v>0</v>
      </c>
      <c r="J112" s="1070">
        <v>0</v>
      </c>
      <c r="K112" s="1070">
        <v>0</v>
      </c>
      <c r="L112" s="1070">
        <v>0</v>
      </c>
      <c r="M112" s="1070">
        <v>0</v>
      </c>
      <c r="N112" s="1070">
        <v>0</v>
      </c>
      <c r="O112" s="1070">
        <v>0</v>
      </c>
      <c r="P112" s="1070">
        <v>0</v>
      </c>
      <c r="Q112" s="1070">
        <v>0</v>
      </c>
      <c r="R112" s="3764" t="str">
        <f>FHD_NOTE_P_72</f>
        <v/>
      </c>
      <c r="AN112" s="3432">
        <v>19</v>
      </c>
    </row>
    <row customHeight="1" ht="39.75" hidden="1">
      <c r="A113" s="1069" t="s">
        <v>607</v>
      </c>
      <c r="E113" s="3945" t="str">
        <f>FHD_NUM_P_73</f>
        <v/>
      </c>
      <c r="F113" s="3563" t="str">
        <f>FHD_P_73</f>
        <v/>
      </c>
      <c r="G113" s="3556" t="s">
        <v>606</v>
      </c>
      <c r="H113" s="1090"/>
      <c r="I113" s="1090"/>
      <c r="J113" s="1090"/>
      <c r="K113" s="1090"/>
      <c r="L113" s="1090"/>
      <c r="M113" s="1090"/>
      <c r="N113" s="1090"/>
      <c r="O113" s="1090"/>
      <c r="P113" s="1090"/>
      <c r="Q113" s="1090"/>
      <c r="R113" s="3764" t="str">
        <f>FHD_NOTE_P_73</f>
        <v/>
      </c>
      <c r="AN113" s="3432">
        <v>0</v>
      </c>
    </row>
    <row customHeight="1" ht="39.75">
      <c r="A114" s="1069" t="s">
        <v>608</v>
      </c>
      <c r="E114" s="3945" t="str">
        <f>FHD_NUM_P_74</f>
        <v>13</v>
      </c>
      <c r="F114" s="3563" t="str">
        <f>FHD_P_74</f>
        <v>Удельный расход электрической энергии на подачу воды в сеть</v>
      </c>
      <c r="G114" s="3436" t="s">
        <v>609</v>
      </c>
      <c r="H114" s="1070"/>
      <c r="I114" s="1070">
        <v>0</v>
      </c>
      <c r="J114" s="1070">
        <v>0</v>
      </c>
      <c r="K114" s="1070">
        <v>0</v>
      </c>
      <c r="L114" s="1070">
        <v>0</v>
      </c>
      <c r="M114" s="1070">
        <v>0</v>
      </c>
      <c r="N114" s="1070">
        <v>0</v>
      </c>
      <c r="O114" s="1070">
        <v>0</v>
      </c>
      <c r="P114" s="1070">
        <v>0</v>
      </c>
      <c r="Q114" s="1070">
        <v>0</v>
      </c>
      <c r="R114" s="3764" t="str">
        <f>FHD_NOTE_P_74</f>
        <v/>
      </c>
      <c r="AN114" s="3432">
        <v>0</v>
      </c>
    </row>
    <row customHeight="1" ht="18.75" hidden="1">
      <c r="A115" s="1058" t="s">
        <v>610</v>
      </c>
      <c r="E115" s="3945" t="str">
        <f>FHD_NUM_P_75</f>
        <v/>
      </c>
      <c r="F115" s="3563" t="str">
        <f>FHD_P_75</f>
        <v/>
      </c>
      <c r="G115" s="3436" t="s">
        <v>573</v>
      </c>
      <c r="H115" s="1057"/>
      <c r="I115" s="1057"/>
      <c r="J115" s="1057"/>
      <c r="K115" s="1057"/>
      <c r="L115" s="1057"/>
      <c r="M115" s="1057"/>
      <c r="N115" s="1057"/>
      <c r="O115" s="1057"/>
      <c r="P115" s="1057"/>
      <c r="Q115" s="1057"/>
      <c r="R115" s="3764" t="str">
        <f>FHD_NOTE_P_75</f>
        <v/>
      </c>
      <c r="AN115" s="3432">
        <v>0</v>
      </c>
    </row>
    <row customHeight="1" ht="18.75" hidden="1">
      <c r="A116" s="1058"/>
      <c r="E116" s="3945" t="str">
        <f>FHD_NUM_P_76</f>
        <v/>
      </c>
      <c r="F116" s="3563" t="str">
        <f>FHD_P_76</f>
        <v/>
      </c>
      <c r="G116" s="3436" t="s">
        <v>573</v>
      </c>
      <c r="H116" s="1057"/>
      <c r="I116" s="1057"/>
      <c r="J116" s="1057"/>
      <c r="K116" s="1057"/>
      <c r="L116" s="1057"/>
      <c r="M116" s="1057"/>
      <c r="N116" s="1057"/>
      <c r="O116" s="1057"/>
      <c r="P116" s="1057"/>
      <c r="Q116" s="1057"/>
      <c r="R116" s="3764" t="str">
        <f>FHD_NOTE_P_76</f>
        <v/>
      </c>
      <c r="AN116" s="3432">
        <v>0</v>
      </c>
    </row>
    <row customHeight="1" ht="18.75" hidden="1">
      <c r="A117" s="1058"/>
      <c r="E117" s="3945" t="str">
        <f>FHD_NUM_P_77</f>
        <v/>
      </c>
      <c r="F117" s="3563" t="str">
        <f>FHD_P_77</f>
        <v/>
      </c>
      <c r="G117" s="3436" t="s">
        <v>573</v>
      </c>
      <c r="H117" s="1057"/>
      <c r="I117" s="1057"/>
      <c r="J117" s="1057"/>
      <c r="K117" s="1057"/>
      <c r="L117" s="1057"/>
      <c r="M117" s="1057"/>
      <c r="N117" s="1057"/>
      <c r="O117" s="1057"/>
      <c r="P117" s="1057"/>
      <c r="Q117" s="1057"/>
      <c r="R117" s="3764" t="str">
        <f>FHD_NOTE_P_77</f>
        <v/>
      </c>
      <c r="AN117" s="3432">
        <v>0</v>
      </c>
    </row>
    <row customHeight="1" ht="0.75" hidden="1">
      <c r="A118" s="1058"/>
      <c r="E118" s="3481" t="str">
        <f>E117&amp;".0"</f>
        <v>.0</v>
      </c>
      <c r="F118" s="3970"/>
      <c r="G118" s="3859"/>
      <c r="H118" s="1074"/>
      <c r="I118" s="1074"/>
      <c r="J118" s="1074"/>
      <c r="K118" s="1074"/>
      <c r="L118" s="1074"/>
      <c r="M118" s="1074"/>
      <c r="N118" s="1074"/>
      <c r="O118" s="1074"/>
      <c r="P118" s="1074"/>
      <c r="Q118" s="1074"/>
      <c r="R118" s="3969"/>
      <c r="AN118" s="3473">
        <v>0</v>
      </c>
    </row>
    <row customHeight="1" ht="15" hidden="1">
      <c r="A119" s="1058"/>
      <c r="E119" s="1088"/>
      <c r="F119" s="1089" t="s">
        <v>611</v>
      </c>
      <c r="G119" s="3727"/>
      <c r="H119" s="3935"/>
      <c r="I119" s="3935"/>
      <c r="J119" s="3935"/>
      <c r="K119" s="3935"/>
      <c r="L119" s="3935"/>
      <c r="M119" s="3935"/>
      <c r="N119" s="3935"/>
      <c r="O119" s="3935"/>
      <c r="P119" s="3935"/>
      <c r="Q119" s="3935"/>
      <c r="R119" s="3796" t="s">
        <v>612</v>
      </c>
      <c r="AN119" s="3432">
        <v>0</v>
      </c>
    </row>
    <row customHeight="1" ht="22.5" hidden="1">
      <c r="A120" s="1058" t="s">
        <v>613</v>
      </c>
      <c r="E120" s="3945" t="str">
        <f>FHD_NUM_P_78</f>
        <v/>
      </c>
      <c r="F120" s="3563" t="str">
        <f>FHD_P_78</f>
        <v/>
      </c>
      <c r="G120" s="3436" t="s">
        <v>575</v>
      </c>
      <c r="H120" s="1070"/>
      <c r="I120" s="1070"/>
      <c r="J120" s="1070"/>
      <c r="K120" s="1070"/>
      <c r="L120" s="1070"/>
      <c r="M120" s="1070"/>
      <c r="N120" s="1070"/>
      <c r="O120" s="1070"/>
      <c r="P120" s="1070"/>
      <c r="Q120" s="1070"/>
      <c r="R120" s="3764" t="str">
        <f>FHD_NOTE_P_78</f>
        <v/>
      </c>
      <c r="AN120" s="3432">
        <v>0</v>
      </c>
    </row>
    <row customHeight="1" ht="0.75" hidden="1">
      <c r="A121" s="1058"/>
      <c r="E121" s="3481" t="str">
        <f>E120&amp;".0"</f>
        <v>.0</v>
      </c>
      <c r="F121" s="3970"/>
      <c r="G121" s="3859"/>
      <c r="H121" s="1074"/>
      <c r="I121" s="1074"/>
      <c r="J121" s="1074"/>
      <c r="K121" s="1074"/>
      <c r="L121" s="1074"/>
      <c r="M121" s="1074"/>
      <c r="N121" s="1074"/>
      <c r="O121" s="1074"/>
      <c r="P121" s="1074"/>
      <c r="Q121" s="1074"/>
      <c r="R121" s="3969"/>
      <c r="AN121" s="3473">
        <v>0</v>
      </c>
    </row>
    <row customHeight="1" ht="15" hidden="1">
      <c r="A122" s="1058"/>
      <c r="E122" s="1067"/>
      <c r="F122" s="167" t="s">
        <v>602</v>
      </c>
      <c r="G122" s="3727"/>
      <c r="H122" s="3935"/>
      <c r="I122" s="3935"/>
      <c r="J122" s="3935"/>
      <c r="K122" s="3935"/>
      <c r="L122" s="3935"/>
      <c r="M122" s="3935"/>
      <c r="N122" s="3935"/>
      <c r="O122" s="3935"/>
      <c r="P122" s="3935"/>
      <c r="Q122" s="3935"/>
      <c r="R122" s="3796" t="s">
        <v>614</v>
      </c>
      <c r="AN122" s="3432">
        <v>0</v>
      </c>
    </row>
    <row customHeight="1" ht="22.5" hidden="1">
      <c r="A123" s="1058"/>
      <c r="E123" s="3945" t="str">
        <f>FHD_NUM_P_79</f>
        <v/>
      </c>
      <c r="F123" s="3563" t="str">
        <f>FHD_P_79</f>
        <v/>
      </c>
      <c r="G123" s="3480" t="s">
        <v>577</v>
      </c>
      <c r="H123" s="1070"/>
      <c r="I123" s="1070"/>
      <c r="J123" s="1070"/>
      <c r="K123" s="1070"/>
      <c r="L123" s="1070"/>
      <c r="M123" s="1070"/>
      <c r="N123" s="1070"/>
      <c r="O123" s="1070"/>
      <c r="P123" s="1070"/>
      <c r="Q123" s="1070"/>
      <c r="R123" s="3764" t="str">
        <f>FHD_NOTE_P_79</f>
        <v/>
      </c>
      <c r="AN123" s="3432">
        <v>0</v>
      </c>
    </row>
    <row customHeight="1" ht="0.75" hidden="1">
      <c r="A124" s="1058"/>
      <c r="E124" s="3481" t="str">
        <f>E123&amp;".0"</f>
        <v>.0</v>
      </c>
      <c r="F124" s="3971"/>
      <c r="G124" s="3859"/>
      <c r="H124" s="1074"/>
      <c r="I124" s="1074"/>
      <c r="J124" s="1074"/>
      <c r="K124" s="1074"/>
      <c r="L124" s="1074"/>
      <c r="M124" s="1074"/>
      <c r="N124" s="1074"/>
      <c r="O124" s="1074"/>
      <c r="P124" s="1074"/>
      <c r="Q124" s="1074"/>
      <c r="R124" s="3969"/>
      <c r="AN124" s="3473">
        <v>0</v>
      </c>
    </row>
    <row customHeight="1" ht="15" hidden="1">
      <c r="A125" s="1058"/>
      <c r="E125" s="1067"/>
      <c r="F125" s="167" t="s">
        <v>602</v>
      </c>
      <c r="G125" s="3727"/>
      <c r="H125" s="3935"/>
      <c r="I125" s="3935"/>
      <c r="J125" s="3935"/>
      <c r="K125" s="3935"/>
      <c r="L125" s="3935"/>
      <c r="M125" s="3935"/>
      <c r="N125" s="3935"/>
      <c r="O125" s="3935"/>
      <c r="P125" s="3935"/>
      <c r="Q125" s="3935"/>
      <c r="R125" s="3796" t="s">
        <v>615</v>
      </c>
      <c r="AN125" s="3432">
        <v>0</v>
      </c>
    </row>
    <row customHeight="1" ht="22.5" hidden="1">
      <c r="A126" s="1058"/>
      <c r="E126" s="3945" t="str">
        <f>FHD_NUM_P_80</f>
        <v/>
      </c>
      <c r="F126" s="3563" t="str">
        <f>FHD_P_80</f>
        <v/>
      </c>
      <c r="G126" s="3480" t="s">
        <v>616</v>
      </c>
      <c r="H126" s="1057"/>
      <c r="I126" s="1057"/>
      <c r="J126" s="1057"/>
      <c r="K126" s="1057"/>
      <c r="L126" s="1057"/>
      <c r="M126" s="1057"/>
      <c r="N126" s="1057"/>
      <c r="O126" s="1057"/>
      <c r="P126" s="1057"/>
      <c r="Q126" s="1057"/>
      <c r="R126" s="3764" t="str">
        <f>FHD_NOTE_P_80</f>
        <v/>
      </c>
      <c r="AN126" s="3432">
        <v>0</v>
      </c>
    </row>
    <row customHeight="1" ht="18.75" hidden="1">
      <c r="A127" s="1058"/>
      <c r="E127" s="3945" t="str">
        <f>FHD_NUM_P_81</f>
        <v/>
      </c>
      <c r="F127" s="3563" t="str">
        <f>FHD_P_81</f>
        <v/>
      </c>
      <c r="G127" s="3480" t="s">
        <v>617</v>
      </c>
      <c r="H127" s="1057"/>
      <c r="I127" s="1057"/>
      <c r="J127" s="1057"/>
      <c r="K127" s="1057"/>
      <c r="L127" s="1057"/>
      <c r="M127" s="1057"/>
      <c r="N127" s="1057"/>
      <c r="O127" s="1057"/>
      <c r="P127" s="1057"/>
      <c r="Q127" s="1057"/>
      <c r="R127" s="3764" t="str">
        <f>FHD_NOTE_P_81</f>
        <v/>
      </c>
      <c r="AN127" s="3432">
        <v>0</v>
      </c>
    </row>
    <row customHeight="1" ht="18.75" hidden="1">
      <c r="A128" s="1058"/>
      <c r="C128" s="3473" t="s">
        <v>604</v>
      </c>
      <c r="E128" s="3945" t="str">
        <f>FHD_NUM_P_82</f>
        <v/>
      </c>
      <c r="F128" s="3563" t="str">
        <f>FHD_P_82</f>
        <v/>
      </c>
      <c r="G128" s="3480" t="s">
        <v>321</v>
      </c>
      <c r="H128" s="812"/>
      <c r="I128" s="812"/>
      <c r="J128" s="812"/>
      <c r="K128" s="812"/>
      <c r="L128" s="812"/>
      <c r="M128" s="812"/>
      <c r="N128" s="812"/>
      <c r="O128" s="812"/>
      <c r="P128" s="812"/>
      <c r="Q128" s="812"/>
      <c r="R128" s="3764" t="str">
        <f>FHD_NOTE_P_82</f>
        <v/>
      </c>
      <c r="AN128" s="3432">
        <v>0</v>
      </c>
    </row>
    <row customHeight="1" ht="18.75" hidden="1">
      <c r="A129" s="1058"/>
      <c r="C129" s="3473" t="s">
        <v>604</v>
      </c>
      <c r="E129" s="3945" t="str">
        <f>FHD_NUM_P_83</f>
        <v/>
      </c>
      <c r="F129" s="3912" t="str">
        <f>FHD_P_83</f>
        <v/>
      </c>
      <c r="G129" s="3480" t="s">
        <v>321</v>
      </c>
      <c r="H129" s="812"/>
      <c r="I129" s="812"/>
      <c r="J129" s="812"/>
      <c r="K129" s="812"/>
      <c r="L129" s="812"/>
      <c r="M129" s="812"/>
      <c r="N129" s="812"/>
      <c r="O129" s="812"/>
      <c r="P129" s="812"/>
      <c r="Q129" s="812"/>
      <c r="R129" s="3764" t="str">
        <f>FHD_NOTE_P_83</f>
        <v/>
      </c>
      <c r="AN129" s="3432">
        <v>0</v>
      </c>
    </row>
    <row customHeight="1" ht="18.75" hidden="1">
      <c r="A130" s="1058"/>
      <c r="C130" s="3473" t="s">
        <v>604</v>
      </c>
      <c r="E130" s="3945" t="str">
        <f>FHD_NUM_P_84</f>
        <v/>
      </c>
      <c r="F130" s="3912" t="str">
        <f>FHD_P_84</f>
        <v/>
      </c>
      <c r="G130" s="3480" t="s">
        <v>321</v>
      </c>
      <c r="H130" s="812"/>
      <c r="I130" s="812"/>
      <c r="J130" s="812"/>
      <c r="K130" s="812"/>
      <c r="L130" s="812"/>
      <c r="M130" s="812"/>
      <c r="N130" s="812"/>
      <c r="O130" s="812"/>
      <c r="P130" s="812"/>
      <c r="Q130" s="812"/>
      <c r="R130" s="3764" t="str">
        <f>FHD_NOTE_P_84</f>
        <v/>
      </c>
      <c r="AN130" s="3432">
        <v>0</v>
      </c>
    </row>
    <row customHeight="1" ht="11.549999999999999">
      <c r="AN131" s="3432">
        <v>11</v>
      </c>
    </row>
    <row customHeight="1" ht="13.5">
      <c r="AN132" s="3432">
        <v>13</v>
      </c>
    </row>
    <row customHeight="1" ht="11.549999999999999">
      <c r="AN133" s="3637">
        <v>11</v>
      </c>
    </row>
    <row customHeight="1" ht="11.549999999999999">
      <c r="AN134" s="3637">
        <v>11</v>
      </c>
    </row>
    <row customHeight="1" ht="11.549999999999999">
      <c r="AN135" s="3637">
        <v>11</v>
      </c>
    </row>
    <row customHeight="1" ht="11.549999999999999">
      <c r="H136" s="3428" t="str">
        <f>IF(H30-H31&lt;&gt;H72,"WARNING","")</f>
        <v/>
      </c>
      <c r="I136" s="3428" t="str">
        <f>IF(I30-I31&lt;&gt;I72,"WARNING","")</f>
        <v>WARNING</v>
      </c>
      <c r="J136" s="3428" t="str">
        <f>IF(J30-J31&lt;&gt;J72,"WARNING","")</f>
        <v>WARNING</v>
      </c>
      <c r="K136" s="3428" t="str">
        <f>IF(K30-K31&lt;&gt;K72,"WARNING","")</f>
        <v>WARNING</v>
      </c>
      <c r="L136" s="3428" t="str">
        <f>IF(L30-L31&lt;&gt;L72,"WARNING","")</f>
        <v>WARNING</v>
      </c>
      <c r="M136" s="3428" t="str">
        <f>IF(M30-M31&lt;&gt;M72,"WARNING","")</f>
        <v>WARNING</v>
      </c>
      <c r="N136" s="3428" t="str">
        <f>IF(N30-N31&lt;&gt;N72,"WARNING","")</f>
        <v>WARNING</v>
      </c>
      <c r="O136" s="3428" t="str">
        <f>IF(O30-O31&lt;&gt;O72,"WARNING","")</f>
        <v>WARNING</v>
      </c>
      <c r="P136" s="3428" t="str">
        <f>IF(P30-P31&lt;&gt;P72,"WARNING","")</f>
        <v>WARNING</v>
      </c>
      <c r="Q136" s="3428" t="str">
        <f>IF(Q30-Q31&lt;&gt;Q72,"WARNING","")</f>
        <v/>
      </c>
      <c r="AN136" s="3637">
        <v>11</v>
      </c>
    </row>
    <row customHeight="1" ht="11.549999999999999">
      <c r="AN137" s="3637">
        <v>11</v>
      </c>
    </row>
    <row customHeight="1" ht="11.549999999999999">
      <c r="AN138" s="3637">
        <v>11</v>
      </c>
    </row>
    <row customHeight="1" ht="11.549999999999999">
      <c r="AN139" s="3637">
        <v>11</v>
      </c>
    </row>
    <row customHeight="1" ht="11.549999999999999">
      <c r="AN140" s="3637">
        <v>11</v>
      </c>
    </row>
    <row customHeight="1" ht="11.549999999999999">
      <c r="AN141" s="3637">
        <v>11</v>
      </c>
    </row>
    <row customHeight="1" ht="11.549999999999999">
      <c r="AN142" s="3637">
        <v>11</v>
      </c>
    </row>
    <row customHeight="1" ht="11.549999999999999">
      <c r="AN143" s="3637">
        <v>11</v>
      </c>
    </row>
    <row customHeight="1" ht="11.549999999999999">
      <c r="AN144" s="3637">
        <v>11</v>
      </c>
    </row>
    <row customHeight="1" ht="11.549999999999999">
      <c r="AN145" s="3637">
        <v>11</v>
      </c>
    </row>
    <row customHeight="1" ht="11.549999999999999">
      <c r="AN146" s="3637">
        <v>11</v>
      </c>
    </row>
    <row customHeight="1" ht="11.549999999999999">
      <c r="AN147" s="3637">
        <v>11</v>
      </c>
    </row>
    <row customHeight="1" ht="11.549999999999999">
      <c r="AN148" s="3637">
        <v>11</v>
      </c>
    </row>
    <row customHeight="1" ht="11.549999999999999">
      <c r="AN149" s="3637">
        <v>11</v>
      </c>
    </row>
    <row customHeight="1" ht="11.549999999999999">
      <c r="AN150" s="3637">
        <v>11</v>
      </c>
    </row>
    <row customHeight="1" ht="11.549999999999999">
      <c r="AN151" s="3637">
        <v>11</v>
      </c>
    </row>
    <row customHeight="1" ht="11.549999999999999">
      <c r="AN152" s="3637">
        <v>11</v>
      </c>
    </row>
    <row customHeight="1" ht="11.549999999999999">
      <c r="AN153" s="3637">
        <v>11</v>
      </c>
    </row>
    <row customHeight="1" ht="11.549999999999999">
      <c r="AN154" s="3637">
        <v>11</v>
      </c>
    </row>
    <row customHeight="1" ht="11.549999999999999">
      <c r="AN155" s="3637">
        <v>11</v>
      </c>
    </row>
    <row customHeight="1" ht="11.549999999999999">
      <c r="AN156" s="3637">
        <v>11</v>
      </c>
    </row>
    <row customHeight="1" ht="11.549999999999999">
      <c r="AN157" s="3637">
        <v>11</v>
      </c>
    </row>
    <row customHeight="1" ht="11.549999999999999">
      <c r="AN158" s="3637">
        <v>11</v>
      </c>
    </row>
    <row customHeight="1" ht="11.549999999999999">
      <c r="AN159" s="3637">
        <v>11</v>
      </c>
    </row>
    <row customHeight="1" ht="11.549999999999999">
      <c r="AN160" s="3637">
        <v>11</v>
      </c>
    </row>
    <row customHeight="1" ht="11.549999999999999">
      <c r="AN161" s="3637">
        <v>11</v>
      </c>
    </row>
    <row customHeight="1" ht="11.549999999999999">
      <c r="AN162" s="3637">
        <v>11</v>
      </c>
    </row>
    <row customHeight="1" ht="11.549999999999999">
      <c r="AN163" s="3637">
        <v>11</v>
      </c>
    </row>
    <row customHeight="1" ht="11.549999999999999">
      <c r="AN164" s="3637">
        <v>11</v>
      </c>
    </row>
    <row customHeight="1" ht="11.549999999999999">
      <c r="AN165" s="3637">
        <v>11</v>
      </c>
    </row>
    <row customHeight="1" ht="11.549999999999999">
      <c r="AN166" s="3637">
        <v>11</v>
      </c>
    </row>
    <row customHeight="1" ht="11.549999999999999">
      <c r="AN167" s="3637">
        <v>11</v>
      </c>
    </row>
    <row customHeight="1" ht="11.549999999999999">
      <c r="AN168" s="3637">
        <v>11</v>
      </c>
    </row>
    <row customHeight="1" ht="11.549999999999999">
      <c r="AN169" s="3637">
        <v>11</v>
      </c>
    </row>
    <row customHeight="1" ht="11.549999999999999">
      <c r="AN170" s="3637">
        <v>11</v>
      </c>
    </row>
    <row customHeight="1" ht="11.549999999999999">
      <c r="AN171" s="3637">
        <v>11</v>
      </c>
    </row>
    <row customHeight="1" ht="11.549999999999999">
      <c r="AN172" s="3637">
        <v>11</v>
      </c>
    </row>
    <row customHeight="1" ht="11.549999999999999">
      <c r="AN173" s="3637">
        <v>11</v>
      </c>
    </row>
    <row customHeight="1" ht="11.549999999999999">
      <c r="AN174" s="3637">
        <v>11</v>
      </c>
    </row>
    <row customHeight="1" ht="11.549999999999999">
      <c r="AN175" s="3637">
        <v>11</v>
      </c>
    </row>
    <row customHeight="1" ht="11.549999999999999">
      <c r="AN176" s="3637">
        <v>11</v>
      </c>
    </row>
    <row customHeight="1" ht="11.549999999999999">
      <c r="AN177" s="3637">
        <v>11</v>
      </c>
    </row>
    <row customHeight="1" ht="11.549999999999999">
      <c r="AN178" s="3637">
        <v>11</v>
      </c>
    </row>
    <row customHeight="1" ht="11.549999999999999">
      <c r="AN179" s="3637">
        <v>11</v>
      </c>
    </row>
    <row customHeight="1" ht="11.549999999999999">
      <c r="AN180" s="3637">
        <v>11</v>
      </c>
    </row>
    <row customHeight="1" ht="11.549999999999999">
      <c r="AN181" s="3637">
        <v>11</v>
      </c>
    </row>
    <row customHeight="1" ht="11.549999999999999">
      <c r="AN182" s="3637">
        <v>11</v>
      </c>
    </row>
    <row customHeight="1" ht="11.549999999999999">
      <c r="AN183" s="3637">
        <v>11</v>
      </c>
    </row>
    <row customHeight="1" ht="11.549999999999999">
      <c r="AN184" s="3637">
        <v>11</v>
      </c>
    </row>
    <row customHeight="1" ht="11.549999999999999">
      <c r="AN185" s="3637">
        <v>11</v>
      </c>
    </row>
    <row customHeight="1" ht="11.549999999999999">
      <c r="AN186" s="3637">
        <v>11</v>
      </c>
    </row>
    <row customHeight="1" ht="11.549999999999999">
      <c r="AN187" s="3637">
        <v>11</v>
      </c>
    </row>
    <row customHeight="1" ht="11.549999999999999">
      <c r="AN188" s="3637">
        <v>11</v>
      </c>
    </row>
    <row customHeight="1" ht="11.549999999999999">
      <c r="AN189" s="3637">
        <v>11</v>
      </c>
    </row>
    <row customHeight="1" ht="11.549999999999999">
      <c r="AN190" s="3637">
        <v>11</v>
      </c>
    </row>
    <row customHeight="1" ht="11.549999999999999">
      <c r="AN191" s="3637">
        <v>11</v>
      </c>
    </row>
    <row customHeight="1" ht="11.549999999999999">
      <c r="AN192" s="3637">
        <v>11</v>
      </c>
    </row>
    <row customHeight="1" ht="11.549999999999999">
      <c r="AN193" s="3637">
        <v>11</v>
      </c>
    </row>
    <row customHeight="1" ht="11.549999999999999">
      <c r="AN194" s="3637">
        <v>11</v>
      </c>
    </row>
    <row customHeight="1" ht="11.549999999999999">
      <c r="AN195" s="3637">
        <v>11</v>
      </c>
    </row>
    <row customHeight="1" ht="11.549999999999999">
      <c r="AN196" s="3637">
        <v>11</v>
      </c>
    </row>
    <row customHeight="1" ht="11.549999999999999">
      <c r="AN197" s="3637">
        <v>11</v>
      </c>
    </row>
    <row customHeight="1" ht="11.549999999999999">
      <c r="AN198" s="3637">
        <v>11</v>
      </c>
    </row>
    <row customHeight="1" ht="11.549999999999999">
      <c r="AN199" s="3637">
        <v>11</v>
      </c>
    </row>
    <row customHeight="1" ht="11.549999999999999">
      <c r="AN200" s="3637">
        <v>11</v>
      </c>
    </row>
    <row customHeight="1" ht="11.549999999999999">
      <c r="AN201" s="3637">
        <v>11</v>
      </c>
    </row>
    <row customHeight="1" ht="11.549999999999999">
      <c r="AN202" s="3637">
        <v>11</v>
      </c>
    </row>
    <row customHeight="1" ht="11.549999999999999">
      <c r="AN203" s="3637">
        <v>11</v>
      </c>
    </row>
    <row customHeight="1" ht="11.549999999999999">
      <c r="AN204" s="3637">
        <v>11</v>
      </c>
    </row>
    <row customHeight="1" ht="11.549999999999999">
      <c r="AN205" s="3637">
        <v>11</v>
      </c>
    </row>
    <row customHeight="1" ht="11.549999999999999">
      <c r="AN206" s="3637">
        <v>11</v>
      </c>
    </row>
    <row customHeight="1" ht="11.549999999999999">
      <c r="AN207" s="3637">
        <v>11</v>
      </c>
    </row>
    <row customHeight="1" ht="11.549999999999999">
      <c r="AN208" s="3637">
        <v>11</v>
      </c>
    </row>
    <row customHeight="1" ht="11.549999999999999">
      <c r="AN209" s="3637">
        <v>11</v>
      </c>
    </row>
    <row customHeight="1" ht="11.549999999999999">
      <c r="AN210" s="3637">
        <v>11</v>
      </c>
    </row>
    <row customHeight="1" ht="11.549999999999999">
      <c r="AN211" s="3637">
        <v>11</v>
      </c>
    </row>
    <row customHeight="1" ht="11.549999999999999">
      <c r="AN212" s="3637">
        <v>11</v>
      </c>
    </row>
    <row customHeight="1" ht="11.549999999999999">
      <c r="AN213" s="3637">
        <v>11</v>
      </c>
    </row>
    <row customHeight="1" ht="11.549999999999999">
      <c r="AN214" s="3637">
        <v>11</v>
      </c>
    </row>
    <row customHeight="1" ht="11.549999999999999">
      <c r="AN215" s="3637">
        <v>11</v>
      </c>
    </row>
    <row customHeight="1" ht="11.549999999999999">
      <c r="AN216" s="3637">
        <v>11</v>
      </c>
    </row>
    <row customHeight="1" ht="11.549999999999999">
      <c r="AN217" s="3637">
        <v>11</v>
      </c>
    </row>
    <row customHeight="1" ht="11.549999999999999">
      <c r="AN218" s="3637">
        <v>11</v>
      </c>
    </row>
    <row customHeight="1" ht="11.549999999999999">
      <c r="AN219" s="3637">
        <v>11</v>
      </c>
    </row>
    <row customHeight="1" ht="11.549999999999999">
      <c r="AN220" s="3637">
        <v>11</v>
      </c>
    </row>
    <row customHeight="1" ht="11.549999999999999">
      <c r="AN221" s="3637">
        <v>11</v>
      </c>
    </row>
    <row customHeight="1" ht="11.549999999999999">
      <c r="AN222" s="3637">
        <v>11</v>
      </c>
    </row>
    <row customHeight="1" ht="11.549999999999999">
      <c r="AN223" s="3637">
        <v>11</v>
      </c>
    </row>
    <row customHeight="1" ht="11.549999999999999">
      <c r="AN224" s="3637">
        <v>11</v>
      </c>
    </row>
    <row customHeight="1" ht="11.549999999999999">
      <c r="AN225" s="3637">
        <v>11</v>
      </c>
    </row>
    <row customHeight="1" ht="11.549999999999999">
      <c r="AN226" s="3637">
        <v>11</v>
      </c>
    </row>
    <row customHeight="1" ht="11.549999999999999">
      <c r="AN227" s="3637">
        <v>11</v>
      </c>
    </row>
    <row customHeight="1" ht="11.549999999999999">
      <c r="AN228" s="3637">
        <v>11</v>
      </c>
    </row>
    <row customHeight="1" ht="11.549999999999999">
      <c r="AN229" s="3637">
        <v>11</v>
      </c>
    </row>
    <row customHeight="1" ht="11.549999999999999">
      <c r="AN230" s="3637">
        <v>11</v>
      </c>
    </row>
    <row customHeight="1" ht="11.549999999999999">
      <c r="AN231" s="3637">
        <v>11</v>
      </c>
    </row>
    <row customHeight="1" ht="11.549999999999999">
      <c r="AN232" s="3637">
        <v>11</v>
      </c>
    </row>
    <row customHeight="1" ht="11.549999999999999">
      <c r="AN233" s="3637">
        <v>11</v>
      </c>
    </row>
    <row customHeight="1" ht="11.549999999999999">
      <c r="AN234" s="3637">
        <v>11</v>
      </c>
    </row>
    <row customHeight="1" ht="11.549999999999999">
      <c r="AN235" s="3637">
        <v>11</v>
      </c>
    </row>
    <row customHeight="1" ht="11.549999999999999">
      <c r="AN236" s="3637">
        <v>11</v>
      </c>
    </row>
    <row customHeight="1" ht="11.549999999999999">
      <c r="AN237" s="3637">
        <v>11</v>
      </c>
    </row>
    <row customHeight="1" ht="11.549999999999999">
      <c r="AN238" s="3637">
        <v>11</v>
      </c>
    </row>
    <row customHeight="1" ht="11.549999999999999">
      <c r="AN239" s="3637">
        <v>11</v>
      </c>
    </row>
    <row customHeight="1" ht="11.549999999999999">
      <c r="AN240" s="3637">
        <v>11</v>
      </c>
    </row>
    <row customHeight="1" ht="11.549999999999999">
      <c r="AN241" s="3637">
        <v>11</v>
      </c>
    </row>
    <row customHeight="1" ht="11.549999999999999">
      <c r="AN242" s="3637">
        <v>11</v>
      </c>
    </row>
    <row customHeight="1" ht="11.549999999999999">
      <c r="AN243" s="3637">
        <v>11</v>
      </c>
    </row>
    <row customHeight="1" ht="11.549999999999999">
      <c r="AN244" s="3637">
        <v>11</v>
      </c>
    </row>
    <row customHeight="1" ht="11.549999999999999">
      <c r="AN245" s="3637">
        <v>11</v>
      </c>
    </row>
    <row customHeight="1" ht="11.549999999999999">
      <c r="AN246" s="3637">
        <v>11</v>
      </c>
    </row>
    <row customHeight="1" ht="11.549999999999999">
      <c r="AN247" s="3637">
        <v>11</v>
      </c>
    </row>
    <row customHeight="1" ht="11.549999999999999">
      <c r="AN248" s="3637">
        <v>11</v>
      </c>
    </row>
    <row customHeight="1" ht="11.549999999999999">
      <c r="AN249" s="3637">
        <v>11</v>
      </c>
    </row>
    <row customHeight="1" ht="11.549999999999999">
      <c r="AN250" s="3637">
        <v>11</v>
      </c>
    </row>
    <row customHeight="1" ht="11.549999999999999">
      <c r="AN251" s="3637">
        <v>11</v>
      </c>
    </row>
    <row customHeight="1" ht="11.549999999999999">
      <c r="AN252" s="3637">
        <v>11</v>
      </c>
    </row>
    <row customHeight="1" ht="11.549999999999999">
      <c r="AN253" s="3637">
        <v>11</v>
      </c>
    </row>
    <row customHeight="1" ht="11.549999999999999">
      <c r="AN254" s="3637">
        <v>11</v>
      </c>
    </row>
    <row customHeight="1" ht="11.549999999999999">
      <c r="AN255" s="3637">
        <v>11</v>
      </c>
    </row>
    <row customHeight="1" ht="11.549999999999999">
      <c r="AN256" s="3637">
        <v>11</v>
      </c>
    </row>
    <row customHeight="1" ht="11.549999999999999">
      <c r="AN257" s="3637">
        <v>11</v>
      </c>
    </row>
    <row customHeight="1" ht="11.549999999999999">
      <c r="AN258" s="3637">
        <v>11</v>
      </c>
    </row>
    <row customHeight="1" ht="11.549999999999999">
      <c r="AN259" s="3637">
        <v>11</v>
      </c>
    </row>
    <row customHeight="1" ht="11.549999999999999">
      <c r="AN260" s="3637">
        <v>11</v>
      </c>
    </row>
    <row customHeight="1" ht="11.549999999999999">
      <c r="AN261" s="3637">
        <v>11</v>
      </c>
    </row>
    <row customHeight="1" ht="11.549999999999999">
      <c r="AN262" s="3637">
        <v>11</v>
      </c>
    </row>
    <row customHeight="1" ht="11.549999999999999">
      <c r="AN263" s="3637">
        <v>11</v>
      </c>
    </row>
    <row customHeight="1" ht="11.549999999999999">
      <c r="AN264" s="3637">
        <v>11</v>
      </c>
    </row>
    <row customHeight="1" ht="11.549999999999999">
      <c r="AN265" s="3637">
        <v>11</v>
      </c>
    </row>
    <row customHeight="1" ht="11.549999999999999">
      <c r="AN266" s="3637">
        <v>11</v>
      </c>
    </row>
    <row customHeight="1" ht="11.549999999999999">
      <c r="AN267" s="3637">
        <v>11</v>
      </c>
    </row>
    <row customHeight="1" ht="11.549999999999999">
      <c r="AN268" s="3637">
        <v>11</v>
      </c>
    </row>
    <row customHeight="1" ht="11.549999999999999">
      <c r="AN269" s="3637">
        <v>11</v>
      </c>
    </row>
    <row customHeight="1" ht="11.549999999999999">
      <c r="AN270" s="3637">
        <v>11</v>
      </c>
    </row>
    <row customHeight="1" ht="11.549999999999999">
      <c r="AN271" s="3637">
        <v>11</v>
      </c>
    </row>
    <row customHeight="1" ht="11.549999999999999">
      <c r="AN272" s="3637">
        <v>11</v>
      </c>
    </row>
    <row customHeight="1" ht="11.549999999999999">
      <c r="AN273" s="3637">
        <v>11</v>
      </c>
    </row>
    <row customHeight="1" ht="11.549999999999999">
      <c r="AN274" s="3637">
        <v>11</v>
      </c>
    </row>
    <row customHeight="1" ht="11.549999999999999">
      <c r="AN275" s="3637">
        <v>11</v>
      </c>
    </row>
    <row customHeight="1" ht="11.549999999999999">
      <c r="AN276" s="3637">
        <v>11</v>
      </c>
    </row>
    <row customHeight="1" ht="11.549999999999999">
      <c r="AN277" s="3637">
        <v>11</v>
      </c>
    </row>
    <row customHeight="1" ht="11.549999999999999">
      <c r="AN278" s="3637">
        <v>11</v>
      </c>
    </row>
    <row customHeight="1" ht="11.549999999999999">
      <c r="AN279" s="3637">
        <v>11</v>
      </c>
    </row>
    <row customHeight="1" ht="11.549999999999999">
      <c r="AN280" s="3637">
        <v>11</v>
      </c>
    </row>
    <row customHeight="1" ht="11.549999999999999">
      <c r="AN281" s="3637">
        <v>11</v>
      </c>
    </row>
    <row customHeight="1" ht="11.549999999999999">
      <c r="AN282" s="3637">
        <v>11</v>
      </c>
    </row>
    <row customHeight="1" ht="11.549999999999999">
      <c r="AN283" s="3637">
        <v>11</v>
      </c>
    </row>
    <row customHeight="1" ht="11.549999999999999">
      <c r="AN284" s="3637">
        <v>11</v>
      </c>
    </row>
    <row customHeight="1" ht="11.549999999999999">
      <c r="AN285" s="3637">
        <v>11</v>
      </c>
    </row>
    <row customHeight="1" ht="11.549999999999999">
      <c r="AN286" s="3637">
        <v>11</v>
      </c>
    </row>
    <row customHeight="1" ht="11.549999999999999">
      <c r="AN287" s="3637">
        <v>11</v>
      </c>
    </row>
    <row customHeight="1" ht="11.549999999999999">
      <c r="AN288" s="3637">
        <v>11</v>
      </c>
    </row>
    <row customHeight="1" ht="11.549999999999999">
      <c r="AN289" s="3432">
        <v>11</v>
      </c>
    </row>
    <row customHeight="1" ht="11.549999999999999">
      <c r="AN290" s="3432">
        <v>11</v>
      </c>
    </row>
    <row customHeight="1" ht="11.549999999999999">
      <c r="AN291" s="3432">
        <v>11</v>
      </c>
    </row>
    <row customHeight="1" ht="11.549999999999999">
      <c r="AN292" s="3432">
        <v>11</v>
      </c>
    </row>
    <row customHeight="1" ht="11.549999999999999">
      <c r="AN293" s="3432">
        <v>11</v>
      </c>
    </row>
    <row customHeight="1" ht="11.549999999999999">
      <c r="AN294" s="3432">
        <v>11</v>
      </c>
    </row>
    <row customHeight="1" ht="11.549999999999999">
      <c r="AN295" s="3432">
        <v>11</v>
      </c>
    </row>
    <row customHeight="1" ht="11.549999999999999">
      <c r="AN296" s="3432">
        <v>11</v>
      </c>
    </row>
    <row customHeight="1" ht="11.549999999999999">
      <c r="AN297" s="3432">
        <v>11</v>
      </c>
    </row>
    <row customHeight="1" ht="11.549999999999999">
      <c r="AN298" s="3432">
        <v>11</v>
      </c>
    </row>
    <row customHeight="1" ht="11.549999999999999">
      <c r="AN299" s="3432">
        <v>11</v>
      </c>
    </row>
    <row customHeight="1" ht="11.549999999999999">
      <c r="AN300" s="3432">
        <v>11</v>
      </c>
    </row>
    <row customHeight="1" ht="11.549999999999999">
      <c r="AN301" s="3432">
        <v>11</v>
      </c>
    </row>
    <row customHeight="1" ht="11.549999999999999">
      <c r="AN302" s="3432">
        <v>11</v>
      </c>
    </row>
    <row customHeight="1" ht="11.25" hidden="1">
      <c r="A303" s="1093" t="s">
        <v>80</v>
      </c>
      <c r="B303" s="3449">
        <v>0</v>
      </c>
      <c r="C303" s="3473">
        <v>0</v>
      </c>
      <c r="D303" s="3432">
        <v>3</v>
      </c>
      <c r="E303" s="3432">
        <v>7</v>
      </c>
      <c r="F303" s="3432">
        <v>54</v>
      </c>
      <c r="G303" s="3432">
        <v>10</v>
      </c>
      <c r="H303" s="3432">
        <v>0</v>
      </c>
      <c r="I303" s="3432">
        <v>40</v>
      </c>
      <c r="J303" s="3432">
        <v>0</v>
      </c>
      <c r="K303" s="3432">
        <v>0</v>
      </c>
      <c r="L303" s="3432">
        <v>0</v>
      </c>
      <c r="M303" s="3432">
        <v>0</v>
      </c>
      <c r="N303" s="3432">
        <v>0</v>
      </c>
      <c r="O303" s="3432">
        <v>0</v>
      </c>
      <c r="P303" s="3432">
        <v>0</v>
      </c>
      <c r="Q303" s="3432">
        <v>0</v>
      </c>
      <c r="R303" s="3432">
        <v>102</v>
      </c>
      <c r="S303" s="3449">
        <v>9</v>
      </c>
      <c r="T303" s="3473">
        <v>5</v>
      </c>
      <c r="U303" s="3473">
        <v>3</v>
      </c>
      <c r="V303" s="3449">
        <v>3</v>
      </c>
      <c r="W303" s="3449">
        <v>3</v>
      </c>
      <c r="X303" s="3449">
        <v>3</v>
      </c>
      <c r="Y303" s="3449">
        <v>3</v>
      </c>
      <c r="Z303" s="3473">
        <v>10</v>
      </c>
      <c r="AA303" s="3449">
        <v>34</v>
      </c>
      <c r="AB303" s="3449">
        <v>9</v>
      </c>
      <c r="AC303" s="3972">
        <v>8</v>
      </c>
      <c r="AD303" s="3449">
        <v>8</v>
      </c>
      <c r="AE303" s="3449">
        <v>8</v>
      </c>
      <c r="AF303" s="3449">
        <v>8</v>
      </c>
      <c r="AG303" s="3449">
        <v>8</v>
      </c>
      <c r="AH303" s="3449">
        <v>8</v>
      </c>
      <c r="AI303" s="3430">
        <v>8</v>
      </c>
      <c r="AJ303" s="3430">
        <v>8</v>
      </c>
      <c r="AK303" s="3430">
        <v>8</v>
      </c>
      <c r="AL303" s="3430">
        <v>8</v>
      </c>
      <c r="AM303" s="3430">
        <v>8</v>
      </c>
      <c r="AN303" s="34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Q68 H66:Q66"/>
    <dataValidation type="decimal" allowBlank="1" showErrorMessage="1" errorTitle="Ошибка" error="Введите значение от 0 до 100%" sqref="H90:Q90 H95:Q95">
      <formula1>0</formula1>
      <formula2>100</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s>
  <hyperlinks>
    <hyperlink ref="I81" r:id="rId1" xr:uid="{66EFD264-E147-A0F1-713B-3357B8F79C27}"/>
    <hyperlink ref="J81" r:id="rId2" xr:uid="{C8947CC1-6587-215C-9DD7-9CE2DD2E4505}"/>
    <hyperlink ref="K81" r:id="rId3" xr:uid="{7D284B98-E56F-68AB-929A-C44E0A7C08B1}"/>
    <hyperlink ref="L81" r:id="rId4" xr:uid="{15A7EA25-4A4F-D8D8-431E-6BC1A2A7B5E6}"/>
    <hyperlink ref="M81" r:id="rId5" xr:uid="{39A1EB25-6D27-58B6-20E8-8919C30AA31A}"/>
    <hyperlink ref="N81" r:id="rId6" xr:uid="{0B0E1F9D-1D62-613F-0B19-473631B43865}"/>
    <hyperlink ref="O81" r:id="rId7" xr:uid="{C6588789-33A5-532F-4799-A62B1E56F3B5}"/>
    <hyperlink ref="P81" r:id="rId8" xr:uid="{311BB4EA-1E5C-FDCC-0A08-4A2924E65692}"/>
    <hyperlink ref="Q81" r:id="rId9" xr:uid="{4B4ABE54-2858-A496-7215-BA098193419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E49C2-0179-DAA5-AE49-90D6808DF0B7}" mc:Ignorable="x14ac xr xr2 xr3">
  <sheetPr>
    <tabColor theme="9" tint="-0.25"/>
  </sheetPr>
  <dimension ref="A1:CF101"/>
  <sheetViews>
    <sheetView topLeftCell="A1" showGridLines="0" zoomScale="90" workbookViewId="0">
      <selection activeCell="A86" sqref="A86:CF94"/>
    </sheetView>
  </sheetViews>
  <sheetFormatPr defaultColWidth="9.140625" customHeight="1" defaultRowHeight="11.25"/>
  <cols>
    <col min="1" max="1" style="7348" width="14.7109375" hidden="1" customWidth="1"/>
    <col min="2" max="2" style="7348" width="17.00390625" hidden="1" customWidth="1"/>
    <col min="3" max="3" style="7348" width="3.00390625" customWidth="1"/>
    <col min="4" max="4" style="7348" width="1.8515625" hidden="1" customWidth="1"/>
    <col min="5" max="6" style="7348" width="7.00390625" customWidth="1"/>
    <col min="7" max="7" style="7348" width="29.00390625" customWidth="1"/>
    <col min="8" max="8" style="7348" width="3.7109375" customWidth="1"/>
    <col min="9" max="9" style="7348" width="5.00390625" customWidth="1"/>
    <col min="10" max="11" style="7348" width="24.00390625" customWidth="1"/>
    <col min="12" max="12" style="7348" width="3.00390625" customWidth="1"/>
    <col min="13" max="13" style="7348" width="6.00390625" customWidth="1"/>
    <col min="14" max="14" style="7348" width="25.00390625" customWidth="1"/>
    <col min="15" max="18" style="7348" width="18.00390625" customWidth="1"/>
    <col min="19" max="19" style="7348" width="93.00390625" customWidth="1"/>
    <col min="20" max="21" style="7348" width="10.00390625" customWidth="1"/>
    <col min="22" max="22" style="7348" width="11.00390625" customWidth="1"/>
    <col min="23" max="27" style="7348" width="10.00390625" customWidth="1"/>
    <col min="28" max="83" style="7348" width="8.00390625" customWidth="1"/>
    <col min="84" max="84" style="7348" width="9.140625" hidden="1"/>
  </cols>
  <sheetData>
    <row customHeight="1" ht="22.5" hidden="1">
      <c r="CF1" s="3432" t="s">
        <v>14</v>
      </c>
    </row>
    <row customHeight="1" ht="11.25" hidden="1">
      <c r="CF2" s="3432">
        <v>0</v>
      </c>
    </row>
    <row customHeight="1" ht="11.25" hidden="1">
      <c r="CF3" s="3432">
        <v>0</v>
      </c>
    </row>
    <row customHeight="1" ht="3">
      <c r="CF4" s="3432">
        <v>3</v>
      </c>
    </row>
    <row customHeight="1" ht="29.25">
      <c r="D5" s="3922"/>
      <c r="E5" s="364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646"/>
      <c r="G5" s="3646"/>
      <c r="H5" s="3646"/>
      <c r="I5" s="3646"/>
      <c r="J5" s="3646"/>
      <c r="K5" s="3646"/>
      <c r="CF5" s="3432">
        <v>28</v>
      </c>
    </row>
    <row customHeight="1" ht="16.8">
      <c r="D6" s="3973"/>
      <c r="E6" s="3554" t="str">
        <f>IF(org=0,"Не определено",org)</f>
        <v>ООО "ТеплоЭлектроГенерирующая Компания"</v>
      </c>
      <c r="F6" s="3554"/>
      <c r="G6" s="3554"/>
      <c r="H6" s="3554"/>
      <c r="I6" s="3554"/>
      <c r="J6" s="3554"/>
      <c r="K6" s="3554"/>
      <c r="CF6" s="3432">
        <v>16</v>
      </c>
    </row>
    <row customHeight="1" ht="11.549999999999999">
      <c r="R7" s="3575"/>
      <c r="CF7" s="3432">
        <v>11</v>
      </c>
    </row>
    <row customHeight="1" ht="4.2">
      <c r="R8" s="3974"/>
      <c r="CF8" s="3637">
        <v>4</v>
      </c>
    </row>
    <row customHeight="1" ht="19.95">
      <c r="D9" s="3764"/>
      <c r="E9" s="3437" t="s">
        <v>315</v>
      </c>
      <c r="F9" s="3477"/>
      <c r="G9" s="3477"/>
      <c r="H9" s="3477"/>
      <c r="I9" s="3477"/>
      <c r="J9" s="3477"/>
      <c r="K9" s="3477"/>
      <c r="L9" s="3477"/>
      <c r="M9" s="3477"/>
      <c r="N9" s="3477"/>
      <c r="O9" s="3477"/>
      <c r="P9" s="3477"/>
      <c r="Q9" s="3477"/>
      <c r="R9" s="3436"/>
      <c r="S9" s="3480" t="s">
        <v>316</v>
      </c>
      <c r="CF9" s="3432">
        <v>19</v>
      </c>
    </row>
    <row customHeight="1" ht="48.29999999999999">
      <c r="D10" s="3481" t="s">
        <v>86</v>
      </c>
      <c r="E10" s="3480" t="s">
        <v>86</v>
      </c>
      <c r="F10" s="3480"/>
      <c r="G10" s="3480" t="s">
        <v>317</v>
      </c>
      <c r="H10" s="3480" t="s">
        <v>86</v>
      </c>
      <c r="I10" s="3480"/>
      <c r="J10" s="3480" t="s">
        <v>618</v>
      </c>
      <c r="K10" s="3480" t="s">
        <v>619</v>
      </c>
      <c r="L10" s="3480" t="s">
        <v>86</v>
      </c>
      <c r="M10" s="3480"/>
      <c r="N10" s="3480" t="s">
        <v>620</v>
      </c>
      <c r="O10" s="3480" t="s">
        <v>621</v>
      </c>
      <c r="P10" s="3480" t="s">
        <v>622</v>
      </c>
      <c r="Q10" s="3480" t="s">
        <v>623</v>
      </c>
      <c r="R10" s="3480" t="s">
        <v>624</v>
      </c>
      <c r="S10" s="3480"/>
      <c r="CF10" s="3432">
        <v>46</v>
      </c>
    </row>
    <row customHeight="1" ht="15" hidden="1">
      <c r="D11" s="951" t="s">
        <v>107</v>
      </c>
      <c r="F11" s="951" t="s">
        <v>108</v>
      </c>
      <c r="G11" s="951" t="s">
        <v>88</v>
      </c>
      <c r="I11" s="951" t="s">
        <v>89</v>
      </c>
      <c r="J11" s="951" t="s">
        <v>109</v>
      </c>
      <c r="K11" s="951" t="s">
        <v>90</v>
      </c>
      <c r="M11" s="951" t="s">
        <v>91</v>
      </c>
      <c r="N11" s="951" t="s">
        <v>110</v>
      </c>
      <c r="O11" s="951" t="s">
        <v>134</v>
      </c>
      <c r="P11" s="951" t="s">
        <v>166</v>
      </c>
      <c r="Q11" s="951" t="s">
        <v>167</v>
      </c>
      <c r="R11" s="951" t="s">
        <v>168</v>
      </c>
      <c r="S11" s="951" t="s">
        <v>169</v>
      </c>
      <c r="CF11" s="3473">
        <v>0</v>
      </c>
    </row>
    <row customHeight="1" ht="1.05">
      <c r="CF12" s="3432">
        <v>1</v>
      </c>
    </row>
    <row customHeight="1" ht="1.05">
      <c r="D13" s="951" t="s">
        <v>391</v>
      </c>
      <c r="CF13" s="3637">
        <v>1</v>
      </c>
    </row>
    <row customHeight="1" ht="15" hidden="1">
      <c r="A14" s="3681" t="s">
        <v>116</v>
      </c>
      <c r="D14" s="1097" t="s">
        <v>107</v>
      </c>
      <c r="E14" s="3753" t="s">
        <v>103</v>
      </c>
      <c r="F14" s="3754"/>
      <c r="G14" s="3755"/>
      <c r="H14" s="3442" t="str">
        <f>IF(A14="","",INDEX(DIFFERENTIATION_UNMERGE_VD,MATCH(A14,DIFFERENTIATION_ID_DIFF,0)))</f>
        <v>Горячее водоснабжение</v>
      </c>
      <c r="I14" s="3442"/>
      <c r="J14" s="3442"/>
      <c r="K14" s="3442"/>
      <c r="L14" s="3442"/>
      <c r="M14" s="3442"/>
      <c r="N14" s="3442"/>
      <c r="O14" s="3442"/>
      <c r="P14" s="3442"/>
      <c r="Q14" s="3442"/>
      <c r="R14" s="3442"/>
      <c r="S14" s="3756"/>
      <c r="T14" s="689"/>
      <c r="AE14" s="3399" t="s">
        <v>22</v>
      </c>
      <c r="AG14" s="3757" t="s">
        <v>625</v>
      </c>
      <c r="AH14" s="3758">
        <v>3</v>
      </c>
      <c r="CF14" s="164">
        <v>0</v>
      </c>
    </row>
    <row customHeight="1" ht="15" hidden="1">
      <c r="D15" s="1098"/>
      <c r="E15" s="3753" t="s">
        <v>579</v>
      </c>
      <c r="F15" s="3754"/>
      <c r="G15" s="3755"/>
      <c r="H15" s="3442" t="str">
        <f>IF(A14="","",INDEX(DIFFERENTIATION_UNMERGE_AREA,MATCH(A14,DIFFERENTIATION_ID_DIFF,0)))</f>
        <v>Территория 1</v>
      </c>
      <c r="I15" s="3442"/>
      <c r="J15" s="3442"/>
      <c r="K15" s="3442"/>
      <c r="L15" s="3442"/>
      <c r="M15" s="3442"/>
      <c r="N15" s="3442"/>
      <c r="O15" s="3442"/>
      <c r="P15" s="3442"/>
      <c r="Q15" s="3442"/>
      <c r="R15" s="3442"/>
      <c r="S15" s="3756"/>
      <c r="T15" s="689"/>
      <c r="CF15" s="164">
        <v>0</v>
      </c>
    </row>
    <row customHeight="1" ht="15" hidden="1">
      <c r="D16" s="1098"/>
      <c r="E16" s="3753" t="s">
        <v>580</v>
      </c>
      <c r="F16" s="3754"/>
      <c r="G16" s="3755"/>
      <c r="H16" s="3442" t="str">
        <f>IF(A14="","",INDEX(DIFFERENTIATION_UNMERGE_SYSTEM,MATCH(A14,DIFFERENTIATION_ID_DIFF,0)))</f>
        <v>г. Саратов, ул.Деловая, 22, п. Юбилейный
</v>
      </c>
      <c r="I16" s="3442"/>
      <c r="J16" s="3442"/>
      <c r="K16" s="3442"/>
      <c r="L16" s="3442"/>
      <c r="M16" s="3442"/>
      <c r="N16" s="3442"/>
      <c r="O16" s="3442"/>
      <c r="P16" s="3442"/>
      <c r="Q16" s="3442"/>
      <c r="R16" s="3442"/>
      <c r="S16" s="3756"/>
      <c r="T16" s="689"/>
      <c r="CF16" s="164">
        <v>0</v>
      </c>
    </row>
    <row customHeight="1" ht="22.5" hidden="1">
      <c r="D17" s="1098"/>
      <c r="E17" s="3759" t="s">
        <v>626</v>
      </c>
      <c r="F17" s="3759"/>
      <c r="G17" s="3759"/>
      <c r="H17" s="3759"/>
      <c r="I17" s="3759"/>
      <c r="J17" s="3759"/>
      <c r="K17" s="3759"/>
      <c r="L17" s="3759"/>
      <c r="M17" s="3759"/>
      <c r="N17" s="3759"/>
      <c r="O17" s="3759"/>
      <c r="P17" s="3759"/>
      <c r="Q17" s="694">
        <f>SUMIF(T18:T19,"i",Q18:Q19)</f>
        <v>0</v>
      </c>
      <c r="R17" s="695"/>
      <c r="S17" s="3563" t="s">
        <v>627</v>
      </c>
      <c r="T17" s="689" t="s">
        <v>628</v>
      </c>
      <c r="U17" s="3471">
        <v>1</v>
      </c>
      <c r="V17" s="3471" t="str">
        <f>INDEX(B_FHD_FLAG_INDEX_1,1,MATCH(A14,B_FHD_FLAG_DIFFERENTIATION,0))</f>
        <v>отсутствует</v>
      </c>
      <c r="CF17" s="164">
        <v>0</v>
      </c>
    </row>
    <row customHeight="1" ht="11.25" hidden="1">
      <c r="D18" s="1098"/>
      <c r="E18" s="3582"/>
      <c r="F18" s="3582">
        <v>0</v>
      </c>
      <c r="G18" s="3582"/>
      <c r="H18" s="3582"/>
      <c r="I18" s="3582"/>
      <c r="J18" s="3582"/>
      <c r="K18" s="3582"/>
      <c r="L18" s="3582"/>
      <c r="M18" s="3582"/>
      <c r="N18" s="3582"/>
      <c r="O18" s="3582"/>
      <c r="P18" s="3582"/>
      <c r="Q18" s="3582"/>
      <c r="R18" s="3582"/>
      <c r="S18" s="3581"/>
      <c r="T18" s="3760"/>
      <c r="CF18" s="164">
        <v>0</v>
      </c>
    </row>
    <row customHeight="1" ht="11.25" hidden="1">
      <c r="D19" s="1098"/>
      <c r="E19" s="697" t="s">
        <v>22</v>
      </c>
      <c r="F19" s="167" t="s">
        <v>22</v>
      </c>
      <c r="G19" s="167" t="s">
        <v>22</v>
      </c>
      <c r="H19" s="172" t="s">
        <v>22</v>
      </c>
      <c r="I19" s="172"/>
      <c r="J19" s="172"/>
      <c r="K19" s="172"/>
      <c r="L19" s="172"/>
      <c r="M19" s="172"/>
      <c r="N19" s="172"/>
      <c r="O19" s="172"/>
      <c r="P19" s="172"/>
      <c r="Q19" s="172"/>
      <c r="R19" s="220"/>
      <c r="S19" s="3759"/>
      <c r="T19" s="3760"/>
      <c r="CF19" s="164">
        <v>0</v>
      </c>
    </row>
    <row customHeight="1" ht="22.5" hidden="1">
      <c r="D20" s="1098"/>
      <c r="E20" s="3759" t="s">
        <v>629</v>
      </c>
      <c r="F20" s="3759"/>
      <c r="G20" s="3759"/>
      <c r="H20" s="3759"/>
      <c r="I20" s="3759"/>
      <c r="J20" s="3759"/>
      <c r="K20" s="3759"/>
      <c r="L20" s="3759"/>
      <c r="M20" s="3759"/>
      <c r="N20" s="3759"/>
      <c r="O20" s="3759"/>
      <c r="P20" s="3759"/>
      <c r="Q20" s="694">
        <f>SUMIF(T21:T22,"i",Q21:Q22)</f>
        <v>0</v>
      </c>
      <c r="R20" s="695"/>
      <c r="S20" s="3563" t="s">
        <v>630</v>
      </c>
      <c r="T20" s="689" t="s">
        <v>628</v>
      </c>
      <c r="U20" s="3471">
        <v>2</v>
      </c>
      <c r="V20" s="3471" t="str">
        <f>INDEX(B_FHD_FLAG_INDEX_2,1,MATCH(A14,B_FHD_FLAG_DIFFERENTIATION,0))</f>
        <v>отсутствует</v>
      </c>
      <c r="CF20" s="164">
        <v>0</v>
      </c>
    </row>
    <row customHeight="1" ht="11.25" hidden="1">
      <c r="D21" s="1098"/>
      <c r="E21" s="3582"/>
      <c r="F21" s="3582">
        <v>0</v>
      </c>
      <c r="G21" s="3582"/>
      <c r="H21" s="3582"/>
      <c r="I21" s="3582"/>
      <c r="J21" s="3582"/>
      <c r="K21" s="3582"/>
      <c r="L21" s="3582"/>
      <c r="M21" s="3582"/>
      <c r="N21" s="3582"/>
      <c r="O21" s="3582"/>
      <c r="P21" s="3582"/>
      <c r="Q21" s="3582"/>
      <c r="R21" s="3582"/>
      <c r="S21" s="3581"/>
      <c r="T21" s="3760"/>
      <c r="CF21" s="164">
        <v>0</v>
      </c>
    </row>
    <row customHeight="1" ht="11.25" hidden="1">
      <c r="D22" s="1099"/>
      <c r="E22" s="697" t="s">
        <v>22</v>
      </c>
      <c r="F22" s="167" t="s">
        <v>22</v>
      </c>
      <c r="G22" s="167" t="s">
        <v>22</v>
      </c>
      <c r="H22" s="172" t="s">
        <v>22</v>
      </c>
      <c r="I22" s="172"/>
      <c r="J22" s="172"/>
      <c r="K22" s="172"/>
      <c r="L22" s="172"/>
      <c r="M22" s="172"/>
      <c r="N22" s="172"/>
      <c r="O22" s="172"/>
      <c r="P22" s="172"/>
      <c r="Q22" s="172"/>
      <c r="R22" s="220"/>
      <c r="S22" s="3759"/>
      <c r="T22" s="3760"/>
      <c r="CF22" s="164">
        <v>0</v>
      </c>
    </row>
    <row customHeight="1" ht="15" hidden="1">
      <c r="A23" s="3681" t="s">
        <v>121</v>
      </c>
      <c r="C23" s="3399" t="s">
        <v>22</v>
      </c>
      <c r="D23" s="211" t="s">
        <v>167</v>
      </c>
      <c r="E23" s="3753" t="s">
        <v>103</v>
      </c>
      <c r="F23" s="3754"/>
      <c r="G23" s="3755"/>
      <c r="H23" s="3442" t="str">
        <f>IF(A23="","",INDEX(DIFFERENTIATION_UNMERGE_VD,MATCH(A23,DIFFERENTIATION_ID_DIFF,0)))</f>
        <v>Горячее водоснабжение</v>
      </c>
      <c r="I23" s="3442"/>
      <c r="J23" s="3442"/>
      <c r="K23" s="3442"/>
      <c r="L23" s="3442"/>
      <c r="M23" s="3442"/>
      <c r="N23" s="3442"/>
      <c r="O23" s="3442"/>
      <c r="P23" s="3442"/>
      <c r="Q23" s="3442"/>
      <c r="R23" s="3442"/>
      <c r="S23" s="3756"/>
      <c r="T23" s="689"/>
      <c r="AE23" s="3399" t="s">
        <v>22</v>
      </c>
      <c r="AG23" s="3757" t="s">
        <v>625</v>
      </c>
      <c r="AH23" s="3758">
        <v>3</v>
      </c>
    </row>
    <row customHeight="1" ht="15" hidden="1">
      <c r="D24" s="692"/>
      <c r="E24" s="3753" t="s">
        <v>579</v>
      </c>
      <c r="F24" s="3754"/>
      <c r="G24" s="3755"/>
      <c r="H24" s="3442" t="str">
        <f>IF(A23="","",INDEX(DIFFERENTIATION_UNMERGE_AREA,MATCH(A23,DIFFERENTIATION_ID_DIFF,0)))</f>
        <v>Территория 1</v>
      </c>
      <c r="I24" s="3442"/>
      <c r="J24" s="3442"/>
      <c r="K24" s="3442"/>
      <c r="L24" s="3442"/>
      <c r="M24" s="3442"/>
      <c r="N24" s="3442"/>
      <c r="O24" s="3442"/>
      <c r="P24" s="3442"/>
      <c r="Q24" s="3442"/>
      <c r="R24" s="3442"/>
      <c r="S24" s="3756"/>
      <c r="T24" s="689"/>
    </row>
    <row customHeight="1" ht="15" hidden="1">
      <c r="D25" s="692"/>
      <c r="E25" s="3753" t="s">
        <v>580</v>
      </c>
      <c r="F25" s="3754"/>
      <c r="G25" s="3755"/>
      <c r="H25" s="3442" t="str">
        <f>IF(A23="","",INDEX(DIFFERENTIATION_UNMERGE_SYSTEM,MATCH(A23,DIFFERENTIATION_ID_DIFF,0)))</f>
        <v>г. Саратов, ул. Вавилова,8/26 А
</v>
      </c>
      <c r="I25" s="3442"/>
      <c r="J25" s="3442"/>
      <c r="K25" s="3442"/>
      <c r="L25" s="3442"/>
      <c r="M25" s="3442"/>
      <c r="N25" s="3442"/>
      <c r="O25" s="3442"/>
      <c r="P25" s="3442"/>
      <c r="Q25" s="3442"/>
      <c r="R25" s="3442"/>
      <c r="S25" s="3756"/>
      <c r="T25" s="689"/>
    </row>
    <row customHeight="1" ht="24.75" hidden="1">
      <c r="D26" s="692"/>
      <c r="E26" s="3759" t="s">
        <v>626</v>
      </c>
      <c r="F26" s="3759"/>
      <c r="G26" s="3759"/>
      <c r="H26" s="3759"/>
      <c r="I26" s="3759"/>
      <c r="J26" s="3759"/>
      <c r="K26" s="3759"/>
      <c r="L26" s="3759"/>
      <c r="M26" s="3759"/>
      <c r="N26" s="3759"/>
      <c r="O26" s="3759"/>
      <c r="P26" s="3759"/>
      <c r="Q26" s="694">
        <f>SUMIF(T27:T28,"i",Q27:Q28)</f>
        <v>0</v>
      </c>
      <c r="R26" s="695"/>
      <c r="S26" s="3563" t="s">
        <v>627</v>
      </c>
      <c r="T26" s="689" t="s">
        <v>628</v>
      </c>
      <c r="U26" s="3471">
        <v>1</v>
      </c>
      <c r="V26" s="3471" t="s">
        <v>590</v>
      </c>
    </row>
    <row customHeight="1" ht="11.25" hidden="1">
      <c r="D27" s="692"/>
      <c r="E27" s="3582"/>
      <c r="F27" s="3582">
        <v>0</v>
      </c>
      <c r="G27" s="3582"/>
      <c r="H27" s="3582"/>
      <c r="I27" s="3582"/>
      <c r="J27" s="3582"/>
      <c r="K27" s="3582"/>
      <c r="L27" s="3582"/>
      <c r="M27" s="3582"/>
      <c r="N27" s="3582"/>
      <c r="O27" s="3582"/>
      <c r="P27" s="3582"/>
      <c r="Q27" s="3582"/>
      <c r="R27" s="3582"/>
      <c r="S27" s="3581"/>
      <c r="T27" s="3760"/>
    </row>
    <row customHeight="1" ht="11.25" hidden="1">
      <c r="D28" s="692"/>
      <c r="E28" s="697" t="s">
        <v>22</v>
      </c>
      <c r="F28" s="167" t="s">
        <v>22</v>
      </c>
      <c r="G28" s="167" t="s">
        <v>631</v>
      </c>
      <c r="H28" s="172" t="s">
        <v>22</v>
      </c>
      <c r="I28" s="172"/>
      <c r="J28" s="172"/>
      <c r="K28" s="172"/>
      <c r="L28" s="172"/>
      <c r="M28" s="172"/>
      <c r="N28" s="172"/>
      <c r="O28" s="172"/>
      <c r="P28" s="172"/>
      <c r="Q28" s="172"/>
      <c r="R28" s="220"/>
      <c r="S28" s="3761"/>
      <c r="T28" s="3760"/>
    </row>
    <row customHeight="1" ht="24.75" hidden="1">
      <c r="D29" s="692"/>
      <c r="E29" s="3759" t="s">
        <v>629</v>
      </c>
      <c r="F29" s="3759"/>
      <c r="G29" s="3759"/>
      <c r="H29" s="3759"/>
      <c r="I29" s="3759"/>
      <c r="J29" s="3759"/>
      <c r="K29" s="3759"/>
      <c r="L29" s="3759"/>
      <c r="M29" s="3759"/>
      <c r="N29" s="3759"/>
      <c r="O29" s="3759"/>
      <c r="P29" s="3759"/>
      <c r="Q29" s="694">
        <f>SUMIF(T30:T31,"i",Q30:Q31)</f>
        <v>0</v>
      </c>
      <c r="R29" s="695"/>
      <c r="S29" s="3563" t="s">
        <v>630</v>
      </c>
      <c r="T29" s="689" t="s">
        <v>628</v>
      </c>
      <c r="U29" s="3471">
        <v>1</v>
      </c>
      <c r="V29" s="3471" t="s">
        <v>590</v>
      </c>
    </row>
    <row customHeight="1" ht="11.25" hidden="1">
      <c r="D30" s="692"/>
      <c r="E30" s="3582"/>
      <c r="F30" s="3582">
        <v>0</v>
      </c>
      <c r="G30" s="3582"/>
      <c r="H30" s="3582"/>
      <c r="I30" s="3582"/>
      <c r="J30" s="3582"/>
      <c r="K30" s="3582"/>
      <c r="L30" s="3582"/>
      <c r="M30" s="3582"/>
      <c r="N30" s="3582"/>
      <c r="O30" s="3582"/>
      <c r="P30" s="3582"/>
      <c r="Q30" s="3582"/>
      <c r="R30" s="3582"/>
      <c r="S30" s="3581"/>
      <c r="T30" s="3760"/>
    </row>
    <row customHeight="1" ht="11.25" hidden="1">
      <c r="D31" s="699"/>
      <c r="E31" s="697" t="s">
        <v>22</v>
      </c>
      <c r="F31" s="167" t="s">
        <v>22</v>
      </c>
      <c r="G31" s="167" t="s">
        <v>631</v>
      </c>
      <c r="H31" s="172" t="s">
        <v>22</v>
      </c>
      <c r="I31" s="172"/>
      <c r="J31" s="172"/>
      <c r="K31" s="172"/>
      <c r="L31" s="172"/>
      <c r="M31" s="172"/>
      <c r="N31" s="172"/>
      <c r="O31" s="172"/>
      <c r="P31" s="172"/>
      <c r="Q31" s="172"/>
      <c r="R31" s="220"/>
      <c r="S31" s="3761"/>
      <c r="T31" s="3760"/>
    </row>
    <row customHeight="1" ht="15" hidden="1">
      <c r="A32" s="3681" t="s">
        <v>123</v>
      </c>
      <c r="C32" s="3399" t="s">
        <v>22</v>
      </c>
      <c r="D32" s="211" t="s">
        <v>632</v>
      </c>
      <c r="E32" s="3753" t="s">
        <v>103</v>
      </c>
      <c r="F32" s="3754"/>
      <c r="G32" s="3755"/>
      <c r="H32" s="3442" t="str">
        <f>IF(A32="","",INDEX(DIFFERENTIATION_UNMERGE_VD,MATCH(A32,DIFFERENTIATION_ID_DIFF,0)))</f>
        <v>Горячее водоснабжение</v>
      </c>
      <c r="I32" s="3442"/>
      <c r="J32" s="3442"/>
      <c r="K32" s="3442"/>
      <c r="L32" s="3442"/>
      <c r="M32" s="3442"/>
      <c r="N32" s="3442"/>
      <c r="O32" s="3442"/>
      <c r="P32" s="3442"/>
      <c r="Q32" s="3442"/>
      <c r="R32" s="3442"/>
      <c r="S32" s="3756"/>
      <c r="T32" s="689"/>
      <c r="AE32" s="3399" t="s">
        <v>22</v>
      </c>
      <c r="AG32" s="3757" t="s">
        <v>625</v>
      </c>
      <c r="AH32" s="3758">
        <v>3</v>
      </c>
    </row>
    <row customHeight="1" ht="15" hidden="1">
      <c r="D33" s="692"/>
      <c r="E33" s="3753" t="s">
        <v>579</v>
      </c>
      <c r="F33" s="3754"/>
      <c r="G33" s="3755"/>
      <c r="H33" s="3442" t="str">
        <f>IF(A32="","",INDEX(DIFFERENTIATION_UNMERGE_AREA,MATCH(A32,DIFFERENTIATION_ID_DIFF,0)))</f>
        <v>Территория 1</v>
      </c>
      <c r="I33" s="3442"/>
      <c r="J33" s="3442"/>
      <c r="K33" s="3442"/>
      <c r="L33" s="3442"/>
      <c r="M33" s="3442"/>
      <c r="N33" s="3442"/>
      <c r="O33" s="3442"/>
      <c r="P33" s="3442"/>
      <c r="Q33" s="3442"/>
      <c r="R33" s="3442"/>
      <c r="S33" s="3756"/>
      <c r="T33" s="689"/>
    </row>
    <row customHeight="1" ht="15" hidden="1">
      <c r="D34" s="692"/>
      <c r="E34" s="3753" t="s">
        <v>580</v>
      </c>
      <c r="F34" s="3754"/>
      <c r="G34" s="3755"/>
      <c r="H34" s="3442" t="str">
        <f>IF(A32="","",INDEX(DIFFERENTIATION_UNMERGE_SYSTEM,MATCH(A32,DIFFERENTIATION_ID_DIFF,0)))</f>
        <v>г. Саратов, пр. 50 лет Октября, 60, 74, 108, ЦТП Волочаевский пр., 5, ЦТП Соколовая, 145/153
</v>
      </c>
      <c r="I34" s="3442"/>
      <c r="J34" s="3442"/>
      <c r="K34" s="3442"/>
      <c r="L34" s="3442"/>
      <c r="M34" s="3442"/>
      <c r="N34" s="3442"/>
      <c r="O34" s="3442"/>
      <c r="P34" s="3442"/>
      <c r="Q34" s="3442"/>
      <c r="R34" s="3442"/>
      <c r="S34" s="3756"/>
      <c r="T34" s="689"/>
    </row>
    <row customHeight="1" ht="24.75" hidden="1">
      <c r="D35" s="692"/>
      <c r="E35" s="3759" t="s">
        <v>626</v>
      </c>
      <c r="F35" s="3759"/>
      <c r="G35" s="3759"/>
      <c r="H35" s="3759"/>
      <c r="I35" s="3759"/>
      <c r="J35" s="3759"/>
      <c r="K35" s="3759"/>
      <c r="L35" s="3759"/>
      <c r="M35" s="3759"/>
      <c r="N35" s="3759"/>
      <c r="O35" s="3759"/>
      <c r="P35" s="3759"/>
      <c r="Q35" s="694">
        <f>SUMIF(T36:T37,"i",Q36:Q37)</f>
        <v>0</v>
      </c>
      <c r="R35" s="695"/>
      <c r="S35" s="3563" t="s">
        <v>627</v>
      </c>
      <c r="T35" s="689" t="s">
        <v>628</v>
      </c>
      <c r="U35" s="3471">
        <v>1</v>
      </c>
      <c r="V35" s="3471" t="s">
        <v>590</v>
      </c>
    </row>
    <row customHeight="1" ht="11.25" hidden="1">
      <c r="D36" s="692"/>
      <c r="E36" s="3582"/>
      <c r="F36" s="3582">
        <v>0</v>
      </c>
      <c r="G36" s="3582"/>
      <c r="H36" s="3582"/>
      <c r="I36" s="3582"/>
      <c r="J36" s="3582"/>
      <c r="K36" s="3582"/>
      <c r="L36" s="3582"/>
      <c r="M36" s="3582"/>
      <c r="N36" s="3582"/>
      <c r="O36" s="3582"/>
      <c r="P36" s="3582"/>
      <c r="Q36" s="3582"/>
      <c r="R36" s="3582"/>
      <c r="S36" s="3581"/>
      <c r="T36" s="3760"/>
    </row>
    <row customHeight="1" ht="11.25" hidden="1">
      <c r="D37" s="692"/>
      <c r="E37" s="697" t="s">
        <v>22</v>
      </c>
      <c r="F37" s="167" t="s">
        <v>22</v>
      </c>
      <c r="G37" s="167" t="s">
        <v>631</v>
      </c>
      <c r="H37" s="172" t="s">
        <v>22</v>
      </c>
      <c r="I37" s="172"/>
      <c r="J37" s="172"/>
      <c r="K37" s="172"/>
      <c r="L37" s="172"/>
      <c r="M37" s="172"/>
      <c r="N37" s="172"/>
      <c r="O37" s="172"/>
      <c r="P37" s="172"/>
      <c r="Q37" s="172"/>
      <c r="R37" s="220"/>
      <c r="S37" s="3761"/>
      <c r="T37" s="3760"/>
    </row>
    <row customHeight="1" ht="24.75" hidden="1">
      <c r="D38" s="692"/>
      <c r="E38" s="3759" t="s">
        <v>629</v>
      </c>
      <c r="F38" s="3759"/>
      <c r="G38" s="3759"/>
      <c r="H38" s="3759"/>
      <c r="I38" s="3759"/>
      <c r="J38" s="3759"/>
      <c r="K38" s="3759"/>
      <c r="L38" s="3759"/>
      <c r="M38" s="3759"/>
      <c r="N38" s="3759"/>
      <c r="O38" s="3759"/>
      <c r="P38" s="3759"/>
      <c r="Q38" s="694">
        <f>SUMIF(T39:T40,"i",Q39:Q40)</f>
        <v>0</v>
      </c>
      <c r="R38" s="695"/>
      <c r="S38" s="3563" t="s">
        <v>630</v>
      </c>
      <c r="T38" s="689" t="s">
        <v>628</v>
      </c>
      <c r="U38" s="3471">
        <v>1</v>
      </c>
      <c r="V38" s="3471" t="s">
        <v>590</v>
      </c>
    </row>
    <row customHeight="1" ht="11.25" hidden="1">
      <c r="D39" s="692"/>
      <c r="E39" s="3582"/>
      <c r="F39" s="3582">
        <v>0</v>
      </c>
      <c r="G39" s="3582"/>
      <c r="H39" s="3582"/>
      <c r="I39" s="3582"/>
      <c r="J39" s="3582"/>
      <c r="K39" s="3582"/>
      <c r="L39" s="3582"/>
      <c r="M39" s="3582"/>
      <c r="N39" s="3582"/>
      <c r="O39" s="3582"/>
      <c r="P39" s="3582"/>
      <c r="Q39" s="3582"/>
      <c r="R39" s="3582"/>
      <c r="S39" s="3581"/>
      <c r="T39" s="3760"/>
    </row>
    <row customHeight="1" ht="11.25" hidden="1">
      <c r="D40" s="699"/>
      <c r="E40" s="697" t="s">
        <v>22</v>
      </c>
      <c r="F40" s="167" t="s">
        <v>22</v>
      </c>
      <c r="G40" s="167" t="s">
        <v>631</v>
      </c>
      <c r="H40" s="172" t="s">
        <v>22</v>
      </c>
      <c r="I40" s="172"/>
      <c r="J40" s="172"/>
      <c r="K40" s="172"/>
      <c r="L40" s="172"/>
      <c r="M40" s="172"/>
      <c r="N40" s="172"/>
      <c r="O40" s="172"/>
      <c r="P40" s="172"/>
      <c r="Q40" s="172"/>
      <c r="R40" s="220"/>
      <c r="S40" s="3761"/>
      <c r="T40" s="3760"/>
    </row>
    <row customHeight="1" ht="15" hidden="1">
      <c r="A41" s="3681" t="s">
        <v>125</v>
      </c>
      <c r="C41" s="3399" t="s">
        <v>22</v>
      </c>
      <c r="D41" s="211" t="s">
        <v>633</v>
      </c>
      <c r="E41" s="3753" t="s">
        <v>103</v>
      </c>
      <c r="F41" s="3754"/>
      <c r="G41" s="3755"/>
      <c r="H41" s="3442" t="str">
        <f>IF(A41="","",INDEX(DIFFERENTIATION_UNMERGE_VD,MATCH(A41,DIFFERENTIATION_ID_DIFF,0)))</f>
        <v>Горячее водоснабжение</v>
      </c>
      <c r="I41" s="3442"/>
      <c r="J41" s="3442"/>
      <c r="K41" s="3442"/>
      <c r="L41" s="3442"/>
      <c r="M41" s="3442"/>
      <c r="N41" s="3442"/>
      <c r="O41" s="3442"/>
      <c r="P41" s="3442"/>
      <c r="Q41" s="3442"/>
      <c r="R41" s="3442"/>
      <c r="S41" s="3756"/>
      <c r="T41" s="689"/>
      <c r="AE41" s="3399" t="s">
        <v>22</v>
      </c>
      <c r="AG41" s="3757" t="s">
        <v>625</v>
      </c>
      <c r="AH41" s="3758">
        <v>3</v>
      </c>
    </row>
    <row customHeight="1" ht="15" hidden="1">
      <c r="D42" s="692"/>
      <c r="E42" s="3753" t="s">
        <v>579</v>
      </c>
      <c r="F42" s="3754"/>
      <c r="G42" s="3755"/>
      <c r="H42" s="3442" t="str">
        <f>IF(A41="","",INDEX(DIFFERENTIATION_UNMERGE_AREA,MATCH(A41,DIFFERENTIATION_ID_DIFF,0)))</f>
        <v>Территория 1</v>
      </c>
      <c r="I42" s="3442"/>
      <c r="J42" s="3442"/>
      <c r="K42" s="3442"/>
      <c r="L42" s="3442"/>
      <c r="M42" s="3442"/>
      <c r="N42" s="3442"/>
      <c r="O42" s="3442"/>
      <c r="P42" s="3442"/>
      <c r="Q42" s="3442"/>
      <c r="R42" s="3442"/>
      <c r="S42" s="3756"/>
      <c r="T42" s="689"/>
    </row>
    <row customHeight="1" ht="15" hidden="1">
      <c r="D43" s="692"/>
      <c r="E43" s="3753" t="s">
        <v>580</v>
      </c>
      <c r="F43" s="3754"/>
      <c r="G43" s="3755"/>
      <c r="H43" s="3442" t="str">
        <f>IF(A41="","",INDEX(DIFFERENTIATION_UNMERGE_SYSTEM,MATCH(A41,DIFFERENTIATION_ID_DIFF,0)))</f>
        <v>г. Саратов, ул. Шелковичная, 186, ул. Шелковичная, 178, ул. Шелковичная, 155/161, ул. 2-я Садовая, 106 б.
</v>
      </c>
      <c r="I43" s="3442"/>
      <c r="J43" s="3442"/>
      <c r="K43" s="3442"/>
      <c r="L43" s="3442"/>
      <c r="M43" s="3442"/>
      <c r="N43" s="3442"/>
      <c r="O43" s="3442"/>
      <c r="P43" s="3442"/>
      <c r="Q43" s="3442"/>
      <c r="R43" s="3442"/>
      <c r="S43" s="3756"/>
      <c r="T43" s="689"/>
    </row>
    <row customHeight="1" ht="24.75" hidden="1">
      <c r="D44" s="692"/>
      <c r="E44" s="3759" t="s">
        <v>626</v>
      </c>
      <c r="F44" s="3759"/>
      <c r="G44" s="3759"/>
      <c r="H44" s="3759"/>
      <c r="I44" s="3759"/>
      <c r="J44" s="3759"/>
      <c r="K44" s="3759"/>
      <c r="L44" s="3759"/>
      <c r="M44" s="3759"/>
      <c r="N44" s="3759"/>
      <c r="O44" s="3759"/>
      <c r="P44" s="3759"/>
      <c r="Q44" s="694">
        <f>SUMIF(T45:T46,"i",Q45:Q46)</f>
        <v>0</v>
      </c>
      <c r="R44" s="695"/>
      <c r="S44" s="3563" t="s">
        <v>627</v>
      </c>
      <c r="T44" s="689" t="s">
        <v>628</v>
      </c>
      <c r="U44" s="3471">
        <v>1</v>
      </c>
      <c r="V44" s="3471" t="s">
        <v>590</v>
      </c>
    </row>
    <row customHeight="1" ht="11.25" hidden="1">
      <c r="D45" s="692"/>
      <c r="E45" s="3582"/>
      <c r="F45" s="3582">
        <v>0</v>
      </c>
      <c r="G45" s="3582"/>
      <c r="H45" s="3582"/>
      <c r="I45" s="3582"/>
      <c r="J45" s="3582"/>
      <c r="K45" s="3582"/>
      <c r="L45" s="3582"/>
      <c r="M45" s="3582"/>
      <c r="N45" s="3582"/>
      <c r="O45" s="3582"/>
      <c r="P45" s="3582"/>
      <c r="Q45" s="3582"/>
      <c r="R45" s="3582"/>
      <c r="S45" s="3581"/>
      <c r="T45" s="3760"/>
    </row>
    <row customHeight="1" ht="11.25" hidden="1">
      <c r="D46" s="692"/>
      <c r="E46" s="697" t="s">
        <v>22</v>
      </c>
      <c r="F46" s="167" t="s">
        <v>22</v>
      </c>
      <c r="G46" s="167" t="s">
        <v>631</v>
      </c>
      <c r="H46" s="172" t="s">
        <v>22</v>
      </c>
      <c r="I46" s="172"/>
      <c r="J46" s="172"/>
      <c r="K46" s="172"/>
      <c r="L46" s="172"/>
      <c r="M46" s="172"/>
      <c r="N46" s="172"/>
      <c r="O46" s="172"/>
      <c r="P46" s="172"/>
      <c r="Q46" s="172"/>
      <c r="R46" s="220"/>
      <c r="S46" s="3761"/>
      <c r="T46" s="3760"/>
    </row>
    <row customHeight="1" ht="24.75" hidden="1">
      <c r="D47" s="692"/>
      <c r="E47" s="3759" t="s">
        <v>629</v>
      </c>
      <c r="F47" s="3759"/>
      <c r="G47" s="3759"/>
      <c r="H47" s="3759"/>
      <c r="I47" s="3759"/>
      <c r="J47" s="3759"/>
      <c r="K47" s="3759"/>
      <c r="L47" s="3759"/>
      <c r="M47" s="3759"/>
      <c r="N47" s="3759"/>
      <c r="O47" s="3759"/>
      <c r="P47" s="3759"/>
      <c r="Q47" s="694">
        <f>SUMIF(T48:T49,"i",Q48:Q49)</f>
        <v>0</v>
      </c>
      <c r="R47" s="695"/>
      <c r="S47" s="3563" t="s">
        <v>630</v>
      </c>
      <c r="T47" s="689" t="s">
        <v>628</v>
      </c>
      <c r="U47" s="3471">
        <v>1</v>
      </c>
      <c r="V47" s="3471" t="s">
        <v>590</v>
      </c>
    </row>
    <row customHeight="1" ht="11.25" hidden="1">
      <c r="D48" s="692"/>
      <c r="E48" s="3582"/>
      <c r="F48" s="3582">
        <v>0</v>
      </c>
      <c r="G48" s="3582"/>
      <c r="H48" s="3582"/>
      <c r="I48" s="3582"/>
      <c r="J48" s="3582"/>
      <c r="K48" s="3582"/>
      <c r="L48" s="3582"/>
      <c r="M48" s="3582"/>
      <c r="N48" s="3582"/>
      <c r="O48" s="3582"/>
      <c r="P48" s="3582"/>
      <c r="Q48" s="3582"/>
      <c r="R48" s="3582"/>
      <c r="S48" s="3581"/>
      <c r="T48" s="3760"/>
    </row>
    <row customHeight="1" ht="11.25" hidden="1">
      <c r="D49" s="699"/>
      <c r="E49" s="697" t="s">
        <v>22</v>
      </c>
      <c r="F49" s="167" t="s">
        <v>22</v>
      </c>
      <c r="G49" s="167" t="s">
        <v>631</v>
      </c>
      <c r="H49" s="172" t="s">
        <v>22</v>
      </c>
      <c r="I49" s="172"/>
      <c r="J49" s="172"/>
      <c r="K49" s="172"/>
      <c r="L49" s="172"/>
      <c r="M49" s="172"/>
      <c r="N49" s="172"/>
      <c r="O49" s="172"/>
      <c r="P49" s="172"/>
      <c r="Q49" s="172"/>
      <c r="R49" s="220"/>
      <c r="S49" s="3761"/>
      <c r="T49" s="3760"/>
    </row>
    <row customHeight="1" ht="15" hidden="1">
      <c r="A50" s="3681" t="s">
        <v>127</v>
      </c>
      <c r="C50" s="3399" t="s">
        <v>22</v>
      </c>
      <c r="D50" s="211" t="s">
        <v>634</v>
      </c>
      <c r="E50" s="3753" t="s">
        <v>103</v>
      </c>
      <c r="F50" s="3754"/>
      <c r="G50" s="3755"/>
      <c r="H50" s="3442" t="str">
        <f>IF(A50="","",INDEX(DIFFERENTIATION_UNMERGE_VD,MATCH(A50,DIFFERENTIATION_ID_DIFF,0)))</f>
        <v>Горячее водоснабжение</v>
      </c>
      <c r="I50" s="3442"/>
      <c r="J50" s="3442"/>
      <c r="K50" s="3442"/>
      <c r="L50" s="3442"/>
      <c r="M50" s="3442"/>
      <c r="N50" s="3442"/>
      <c r="O50" s="3442"/>
      <c r="P50" s="3442"/>
      <c r="Q50" s="3442"/>
      <c r="R50" s="3442"/>
      <c r="S50" s="3756"/>
      <c r="T50" s="689"/>
      <c r="AE50" s="3399" t="s">
        <v>22</v>
      </c>
      <c r="AG50" s="3757" t="s">
        <v>625</v>
      </c>
      <c r="AH50" s="3758">
        <v>3</v>
      </c>
    </row>
    <row customHeight="1" ht="15" hidden="1">
      <c r="D51" s="692"/>
      <c r="E51" s="3753" t="s">
        <v>579</v>
      </c>
      <c r="F51" s="3754"/>
      <c r="G51" s="3755"/>
      <c r="H51" s="3442" t="str">
        <f>IF(A50="","",INDEX(DIFFERENTIATION_UNMERGE_AREA,MATCH(A50,DIFFERENTIATION_ID_DIFF,0)))</f>
        <v>Территория 1</v>
      </c>
      <c r="I51" s="3442"/>
      <c r="J51" s="3442"/>
      <c r="K51" s="3442"/>
      <c r="L51" s="3442"/>
      <c r="M51" s="3442"/>
      <c r="N51" s="3442"/>
      <c r="O51" s="3442"/>
      <c r="P51" s="3442"/>
      <c r="Q51" s="3442"/>
      <c r="R51" s="3442"/>
      <c r="S51" s="3756"/>
      <c r="T51" s="689"/>
    </row>
    <row customHeight="1" ht="15" hidden="1">
      <c r="D52" s="692"/>
      <c r="E52" s="3753" t="s">
        <v>580</v>
      </c>
      <c r="F52" s="3754"/>
      <c r="G52" s="3755"/>
      <c r="H52" s="3442" t="str">
        <f>IF(A50="","",INDEX(DIFFERENTIATION_UNMERGE_SYSTEM,MATCH(A50,DIFFERENTIATION_ID_DIFF,0)))</f>
        <v>г. Саратов, ул. Ломоносова, 1
</v>
      </c>
      <c r="I52" s="3442"/>
      <c r="J52" s="3442"/>
      <c r="K52" s="3442"/>
      <c r="L52" s="3442"/>
      <c r="M52" s="3442"/>
      <c r="N52" s="3442"/>
      <c r="O52" s="3442"/>
      <c r="P52" s="3442"/>
      <c r="Q52" s="3442"/>
      <c r="R52" s="3442"/>
      <c r="S52" s="3756"/>
      <c r="T52" s="689"/>
    </row>
    <row customHeight="1" ht="24.75" hidden="1">
      <c r="D53" s="692"/>
      <c r="E53" s="3759" t="s">
        <v>626</v>
      </c>
      <c r="F53" s="3759"/>
      <c r="G53" s="3759"/>
      <c r="H53" s="3759"/>
      <c r="I53" s="3759"/>
      <c r="J53" s="3759"/>
      <c r="K53" s="3759"/>
      <c r="L53" s="3759"/>
      <c r="M53" s="3759"/>
      <c r="N53" s="3759"/>
      <c r="O53" s="3759"/>
      <c r="P53" s="3759"/>
      <c r="Q53" s="694">
        <f>SUMIF(T54:T55,"i",Q54:Q55)</f>
        <v>0</v>
      </c>
      <c r="R53" s="695"/>
      <c r="S53" s="3563" t="s">
        <v>627</v>
      </c>
      <c r="T53" s="689" t="s">
        <v>628</v>
      </c>
      <c r="U53" s="3471">
        <v>1</v>
      </c>
      <c r="V53" s="3471" t="s">
        <v>590</v>
      </c>
    </row>
    <row customHeight="1" ht="11.25" hidden="1">
      <c r="D54" s="692"/>
      <c r="E54" s="3582"/>
      <c r="F54" s="3582">
        <v>0</v>
      </c>
      <c r="G54" s="3582"/>
      <c r="H54" s="3582"/>
      <c r="I54" s="3582"/>
      <c r="J54" s="3582"/>
      <c r="K54" s="3582"/>
      <c r="L54" s="3582"/>
      <c r="M54" s="3582"/>
      <c r="N54" s="3582"/>
      <c r="O54" s="3582"/>
      <c r="P54" s="3582"/>
      <c r="Q54" s="3582"/>
      <c r="R54" s="3582"/>
      <c r="S54" s="3581"/>
      <c r="T54" s="3760"/>
    </row>
    <row customHeight="1" ht="11.25" hidden="1">
      <c r="D55" s="692"/>
      <c r="E55" s="697" t="s">
        <v>22</v>
      </c>
      <c r="F55" s="167" t="s">
        <v>22</v>
      </c>
      <c r="G55" s="167" t="s">
        <v>631</v>
      </c>
      <c r="H55" s="172" t="s">
        <v>22</v>
      </c>
      <c r="I55" s="172"/>
      <c r="J55" s="172"/>
      <c r="K55" s="172"/>
      <c r="L55" s="172"/>
      <c r="M55" s="172"/>
      <c r="N55" s="172"/>
      <c r="O55" s="172"/>
      <c r="P55" s="172"/>
      <c r="Q55" s="172"/>
      <c r="R55" s="220"/>
      <c r="S55" s="3761"/>
      <c r="T55" s="3760"/>
    </row>
    <row customHeight="1" ht="24.75" hidden="1">
      <c r="D56" s="692"/>
      <c r="E56" s="3759" t="s">
        <v>629</v>
      </c>
      <c r="F56" s="3759"/>
      <c r="G56" s="3759"/>
      <c r="H56" s="3759"/>
      <c r="I56" s="3759"/>
      <c r="J56" s="3759"/>
      <c r="K56" s="3759"/>
      <c r="L56" s="3759"/>
      <c r="M56" s="3759"/>
      <c r="N56" s="3759"/>
      <c r="O56" s="3759"/>
      <c r="P56" s="3759"/>
      <c r="Q56" s="694">
        <f>SUMIF(T57:T58,"i",Q57:Q58)</f>
        <v>0</v>
      </c>
      <c r="R56" s="695"/>
      <c r="S56" s="3563" t="s">
        <v>630</v>
      </c>
      <c r="T56" s="689" t="s">
        <v>628</v>
      </c>
      <c r="U56" s="3471">
        <v>1</v>
      </c>
      <c r="V56" s="3471" t="s">
        <v>590</v>
      </c>
    </row>
    <row customHeight="1" ht="11.25" hidden="1">
      <c r="D57" s="692"/>
      <c r="E57" s="3582"/>
      <c r="F57" s="3582">
        <v>0</v>
      </c>
      <c r="G57" s="3582"/>
      <c r="H57" s="3582"/>
      <c r="I57" s="3582"/>
      <c r="J57" s="3582"/>
      <c r="K57" s="3582"/>
      <c r="L57" s="3582"/>
      <c r="M57" s="3582"/>
      <c r="N57" s="3582"/>
      <c r="O57" s="3582"/>
      <c r="P57" s="3582"/>
      <c r="Q57" s="3582"/>
      <c r="R57" s="3582"/>
      <c r="S57" s="3581"/>
      <c r="T57" s="3760"/>
    </row>
    <row customHeight="1" ht="11.25" hidden="1">
      <c r="D58" s="699"/>
      <c r="E58" s="697" t="s">
        <v>22</v>
      </c>
      <c r="F58" s="167" t="s">
        <v>22</v>
      </c>
      <c r="G58" s="167" t="s">
        <v>631</v>
      </c>
      <c r="H58" s="172" t="s">
        <v>22</v>
      </c>
      <c r="I58" s="172"/>
      <c r="J58" s="172"/>
      <c r="K58" s="172"/>
      <c r="L58" s="172"/>
      <c r="M58" s="172"/>
      <c r="N58" s="172"/>
      <c r="O58" s="172"/>
      <c r="P58" s="172"/>
      <c r="Q58" s="172"/>
      <c r="R58" s="220"/>
      <c r="S58" s="3761"/>
      <c r="T58" s="3760"/>
    </row>
    <row customHeight="1" ht="15" hidden="1">
      <c r="A59" s="3681" t="s">
        <v>129</v>
      </c>
      <c r="C59" s="3399" t="s">
        <v>22</v>
      </c>
      <c r="D59" s="211" t="s">
        <v>635</v>
      </c>
      <c r="E59" s="3753" t="s">
        <v>103</v>
      </c>
      <c r="F59" s="3754"/>
      <c r="G59" s="3755"/>
      <c r="H59" s="3442" t="str">
        <f>IF(A59="","",INDEX(DIFFERENTIATION_UNMERGE_VD,MATCH(A59,DIFFERENTIATION_ID_DIFF,0)))</f>
        <v>Горячее водоснабжение</v>
      </c>
      <c r="I59" s="3442"/>
      <c r="J59" s="3442"/>
      <c r="K59" s="3442"/>
      <c r="L59" s="3442"/>
      <c r="M59" s="3442"/>
      <c r="N59" s="3442"/>
      <c r="O59" s="3442"/>
      <c r="P59" s="3442"/>
      <c r="Q59" s="3442"/>
      <c r="R59" s="3442"/>
      <c r="S59" s="3756"/>
      <c r="T59" s="689"/>
      <c r="AE59" s="3399" t="s">
        <v>22</v>
      </c>
      <c r="AG59" s="3757" t="s">
        <v>625</v>
      </c>
      <c r="AH59" s="3758">
        <v>3</v>
      </c>
    </row>
    <row customHeight="1" ht="15" hidden="1">
      <c r="D60" s="692"/>
      <c r="E60" s="3753" t="s">
        <v>579</v>
      </c>
      <c r="F60" s="3754"/>
      <c r="G60" s="3755"/>
      <c r="H60" s="3442" t="str">
        <f>IF(A59="","",INDEX(DIFFERENTIATION_UNMERGE_AREA,MATCH(A59,DIFFERENTIATION_ID_DIFF,0)))</f>
        <v>Территория 1</v>
      </c>
      <c r="I60" s="3442"/>
      <c r="J60" s="3442"/>
      <c r="K60" s="3442"/>
      <c r="L60" s="3442"/>
      <c r="M60" s="3442"/>
      <c r="N60" s="3442"/>
      <c r="O60" s="3442"/>
      <c r="P60" s="3442"/>
      <c r="Q60" s="3442"/>
      <c r="R60" s="3442"/>
      <c r="S60" s="3756"/>
      <c r="T60" s="689"/>
    </row>
    <row customHeight="1" ht="15" hidden="1">
      <c r="D61" s="692"/>
      <c r="E61" s="3753" t="s">
        <v>580</v>
      </c>
      <c r="F61" s="3754"/>
      <c r="G61" s="3755"/>
      <c r="H61" s="3442" t="str">
        <f>IF(A59="","",INDEX(DIFFERENTIATION_UNMERGE_SYSTEM,MATCH(A59,DIFFERENTIATION_ID_DIFF,0)))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I61" s="3442"/>
      <c r="J61" s="3442"/>
      <c r="K61" s="3442"/>
      <c r="L61" s="3442"/>
      <c r="M61" s="3442"/>
      <c r="N61" s="3442"/>
      <c r="O61" s="3442"/>
      <c r="P61" s="3442"/>
      <c r="Q61" s="3442"/>
      <c r="R61" s="3442"/>
      <c r="S61" s="3756"/>
      <c r="T61" s="689"/>
    </row>
    <row customHeight="1" ht="24.75" hidden="1">
      <c r="D62" s="692"/>
      <c r="E62" s="3759" t="s">
        <v>626</v>
      </c>
      <c r="F62" s="3759"/>
      <c r="G62" s="3759"/>
      <c r="H62" s="3759"/>
      <c r="I62" s="3759"/>
      <c r="J62" s="3759"/>
      <c r="K62" s="3759"/>
      <c r="L62" s="3759"/>
      <c r="M62" s="3759"/>
      <c r="N62" s="3759"/>
      <c r="O62" s="3759"/>
      <c r="P62" s="3759"/>
      <c r="Q62" s="694">
        <f>SUMIF(T63:T64,"i",Q63:Q64)</f>
        <v>0</v>
      </c>
      <c r="R62" s="695"/>
      <c r="S62" s="3563" t="s">
        <v>627</v>
      </c>
      <c r="T62" s="689" t="s">
        <v>628</v>
      </c>
      <c r="U62" s="3471">
        <v>1</v>
      </c>
      <c r="V62" s="3471" t="s">
        <v>590</v>
      </c>
    </row>
    <row customHeight="1" ht="11.25" hidden="1">
      <c r="D63" s="692"/>
      <c r="E63" s="3582"/>
      <c r="F63" s="3582">
        <v>0</v>
      </c>
      <c r="G63" s="3582"/>
      <c r="H63" s="3582"/>
      <c r="I63" s="3582"/>
      <c r="J63" s="3582"/>
      <c r="K63" s="3582"/>
      <c r="L63" s="3582"/>
      <c r="M63" s="3582"/>
      <c r="N63" s="3582"/>
      <c r="O63" s="3582"/>
      <c r="P63" s="3582"/>
      <c r="Q63" s="3582"/>
      <c r="R63" s="3582"/>
      <c r="S63" s="3581"/>
      <c r="T63" s="3760"/>
    </row>
    <row customHeight="1" ht="11.25" hidden="1">
      <c r="D64" s="692"/>
      <c r="E64" s="697" t="s">
        <v>22</v>
      </c>
      <c r="F64" s="167" t="s">
        <v>22</v>
      </c>
      <c r="G64" s="167" t="s">
        <v>631</v>
      </c>
      <c r="H64" s="172" t="s">
        <v>22</v>
      </c>
      <c r="I64" s="172"/>
      <c r="J64" s="172"/>
      <c r="K64" s="172"/>
      <c r="L64" s="172"/>
      <c r="M64" s="172"/>
      <c r="N64" s="172"/>
      <c r="O64" s="172"/>
      <c r="P64" s="172"/>
      <c r="Q64" s="172"/>
      <c r="R64" s="220"/>
      <c r="S64" s="3761"/>
      <c r="T64" s="3760"/>
    </row>
    <row customHeight="1" ht="24.75" hidden="1">
      <c r="D65" s="692"/>
      <c r="E65" s="3759" t="s">
        <v>629</v>
      </c>
      <c r="F65" s="3759"/>
      <c r="G65" s="3759"/>
      <c r="H65" s="3759"/>
      <c r="I65" s="3759"/>
      <c r="J65" s="3759"/>
      <c r="K65" s="3759"/>
      <c r="L65" s="3759"/>
      <c r="M65" s="3759"/>
      <c r="N65" s="3759"/>
      <c r="O65" s="3759"/>
      <c r="P65" s="3759"/>
      <c r="Q65" s="694">
        <f>SUMIF(T66:T67,"i",Q66:Q67)</f>
        <v>0</v>
      </c>
      <c r="R65" s="695"/>
      <c r="S65" s="3563" t="s">
        <v>630</v>
      </c>
      <c r="T65" s="689" t="s">
        <v>628</v>
      </c>
      <c r="U65" s="3471">
        <v>1</v>
      </c>
      <c r="V65" s="3471" t="s">
        <v>590</v>
      </c>
    </row>
    <row customHeight="1" ht="11.25" hidden="1">
      <c r="D66" s="692"/>
      <c r="E66" s="3582"/>
      <c r="F66" s="3582">
        <v>0</v>
      </c>
      <c r="G66" s="3582"/>
      <c r="H66" s="3582"/>
      <c r="I66" s="3582"/>
      <c r="J66" s="3582"/>
      <c r="K66" s="3582"/>
      <c r="L66" s="3582"/>
      <c r="M66" s="3582"/>
      <c r="N66" s="3582"/>
      <c r="O66" s="3582"/>
      <c r="P66" s="3582"/>
      <c r="Q66" s="3582"/>
      <c r="R66" s="3582"/>
      <c r="S66" s="3581"/>
      <c r="T66" s="3760"/>
    </row>
    <row customHeight="1" ht="11.25" hidden="1">
      <c r="D67" s="699"/>
      <c r="E67" s="697" t="s">
        <v>22</v>
      </c>
      <c r="F67" s="167" t="s">
        <v>22</v>
      </c>
      <c r="G67" s="167" t="s">
        <v>631</v>
      </c>
      <c r="H67" s="172" t="s">
        <v>22</v>
      </c>
      <c r="I67" s="172"/>
      <c r="J67" s="172"/>
      <c r="K67" s="172"/>
      <c r="L67" s="172"/>
      <c r="M67" s="172"/>
      <c r="N67" s="172"/>
      <c r="O67" s="172"/>
      <c r="P67" s="172"/>
      <c r="Q67" s="172"/>
      <c r="R67" s="220"/>
      <c r="S67" s="3761"/>
      <c r="T67" s="3760"/>
    </row>
    <row customHeight="1" ht="15" hidden="1">
      <c r="A68" s="3681" t="s">
        <v>131</v>
      </c>
      <c r="C68" s="3399" t="s">
        <v>22</v>
      </c>
      <c r="D68" s="211" t="s">
        <v>636</v>
      </c>
      <c r="E68" s="3753" t="s">
        <v>103</v>
      </c>
      <c r="F68" s="3754"/>
      <c r="G68" s="3755"/>
      <c r="H68" s="3442" t="str">
        <f>IF(A68="","",INDEX(DIFFERENTIATION_UNMERGE_VD,MATCH(A68,DIFFERENTIATION_ID_DIFF,0)))</f>
        <v>Горячее водоснабжение</v>
      </c>
      <c r="I68" s="3442"/>
      <c r="J68" s="3442"/>
      <c r="K68" s="3442"/>
      <c r="L68" s="3442"/>
      <c r="M68" s="3442"/>
      <c r="N68" s="3442"/>
      <c r="O68" s="3442"/>
      <c r="P68" s="3442"/>
      <c r="Q68" s="3442"/>
      <c r="R68" s="3442"/>
      <c r="S68" s="3756"/>
      <c r="T68" s="689"/>
      <c r="AE68" s="3399" t="s">
        <v>22</v>
      </c>
      <c r="AG68" s="3757" t="s">
        <v>625</v>
      </c>
      <c r="AH68" s="3758">
        <v>3</v>
      </c>
    </row>
    <row customHeight="1" ht="15" hidden="1">
      <c r="D69" s="692"/>
      <c r="E69" s="3753" t="s">
        <v>579</v>
      </c>
      <c r="F69" s="3754"/>
      <c r="G69" s="3755"/>
      <c r="H69" s="3442" t="str">
        <f>IF(A68="","",INDEX(DIFFERENTIATION_UNMERGE_AREA,MATCH(A68,DIFFERENTIATION_ID_DIFF,0)))</f>
        <v>Территория 1</v>
      </c>
      <c r="I69" s="3442"/>
      <c r="J69" s="3442"/>
      <c r="K69" s="3442"/>
      <c r="L69" s="3442"/>
      <c r="M69" s="3442"/>
      <c r="N69" s="3442"/>
      <c r="O69" s="3442"/>
      <c r="P69" s="3442"/>
      <c r="Q69" s="3442"/>
      <c r="R69" s="3442"/>
      <c r="S69" s="3756"/>
      <c r="T69" s="689"/>
    </row>
    <row customHeight="1" ht="15" hidden="1">
      <c r="D70" s="692"/>
      <c r="E70" s="3753" t="s">
        <v>580</v>
      </c>
      <c r="F70" s="3754"/>
      <c r="G70" s="3755"/>
      <c r="H70" s="3442" t="str">
        <f>IF(A68="","",INDEX(DIFFERENTIATION_UNMERGE_SYSTEM,MATCH(A68,DIFFERENTIATION_ID_DIFF,0)))</f>
        <v>г. Саратов, ул. Огородная, 77
</v>
      </c>
      <c r="I70" s="3442"/>
      <c r="J70" s="3442"/>
      <c r="K70" s="3442"/>
      <c r="L70" s="3442"/>
      <c r="M70" s="3442"/>
      <c r="N70" s="3442"/>
      <c r="O70" s="3442"/>
      <c r="P70" s="3442"/>
      <c r="Q70" s="3442"/>
      <c r="R70" s="3442"/>
      <c r="S70" s="3756"/>
      <c r="T70" s="689"/>
    </row>
    <row customHeight="1" ht="24.75" hidden="1">
      <c r="D71" s="692"/>
      <c r="E71" s="3759" t="s">
        <v>626</v>
      </c>
      <c r="F71" s="3759"/>
      <c r="G71" s="3759"/>
      <c r="H71" s="3759"/>
      <c r="I71" s="3759"/>
      <c r="J71" s="3759"/>
      <c r="K71" s="3759"/>
      <c r="L71" s="3759"/>
      <c r="M71" s="3759"/>
      <c r="N71" s="3759"/>
      <c r="O71" s="3759"/>
      <c r="P71" s="3759"/>
      <c r="Q71" s="694">
        <f>SUMIF(T72:T73,"i",Q72:Q73)</f>
        <v>0</v>
      </c>
      <c r="R71" s="695"/>
      <c r="S71" s="3563" t="s">
        <v>627</v>
      </c>
      <c r="T71" s="689" t="s">
        <v>628</v>
      </c>
      <c r="U71" s="3471">
        <v>1</v>
      </c>
      <c r="V71" s="3471" t="s">
        <v>590</v>
      </c>
    </row>
    <row customHeight="1" ht="11.25" hidden="1">
      <c r="D72" s="692"/>
      <c r="E72" s="3582"/>
      <c r="F72" s="3582">
        <v>0</v>
      </c>
      <c r="G72" s="3582"/>
      <c r="H72" s="3582"/>
      <c r="I72" s="3582"/>
      <c r="J72" s="3582"/>
      <c r="K72" s="3582"/>
      <c r="L72" s="3582"/>
      <c r="M72" s="3582"/>
      <c r="N72" s="3582"/>
      <c r="O72" s="3582"/>
      <c r="P72" s="3582"/>
      <c r="Q72" s="3582"/>
      <c r="R72" s="3582"/>
      <c r="S72" s="3581"/>
      <c r="T72" s="3760"/>
    </row>
    <row customHeight="1" ht="11.25" hidden="1">
      <c r="D73" s="692"/>
      <c r="E73" s="697" t="s">
        <v>22</v>
      </c>
      <c r="F73" s="167" t="s">
        <v>22</v>
      </c>
      <c r="G73" s="167" t="s">
        <v>631</v>
      </c>
      <c r="H73" s="172" t="s">
        <v>22</v>
      </c>
      <c r="I73" s="172"/>
      <c r="J73" s="172"/>
      <c r="K73" s="172"/>
      <c r="L73" s="172"/>
      <c r="M73" s="172"/>
      <c r="N73" s="172"/>
      <c r="O73" s="172"/>
      <c r="P73" s="172"/>
      <c r="Q73" s="172"/>
      <c r="R73" s="220"/>
      <c r="S73" s="3761"/>
      <c r="T73" s="3760"/>
    </row>
    <row customHeight="1" ht="24.75" hidden="1">
      <c r="D74" s="692"/>
      <c r="E74" s="3759" t="s">
        <v>629</v>
      </c>
      <c r="F74" s="3759"/>
      <c r="G74" s="3759"/>
      <c r="H74" s="3759"/>
      <c r="I74" s="3759"/>
      <c r="J74" s="3759"/>
      <c r="K74" s="3759"/>
      <c r="L74" s="3759"/>
      <c r="M74" s="3759"/>
      <c r="N74" s="3759"/>
      <c r="O74" s="3759"/>
      <c r="P74" s="3759"/>
      <c r="Q74" s="694">
        <f>SUMIF(T75:T76,"i",Q75:Q76)</f>
        <v>0</v>
      </c>
      <c r="R74" s="695"/>
      <c r="S74" s="3563" t="s">
        <v>630</v>
      </c>
      <c r="T74" s="689" t="s">
        <v>628</v>
      </c>
      <c r="U74" s="3471">
        <v>1</v>
      </c>
      <c r="V74" s="3471" t="s">
        <v>590</v>
      </c>
    </row>
    <row customHeight="1" ht="11.25" hidden="1">
      <c r="D75" s="692"/>
      <c r="E75" s="3582"/>
      <c r="F75" s="3582">
        <v>0</v>
      </c>
      <c r="G75" s="3582"/>
      <c r="H75" s="3582"/>
      <c r="I75" s="3582"/>
      <c r="J75" s="3582"/>
      <c r="K75" s="3582"/>
      <c r="L75" s="3582"/>
      <c r="M75" s="3582"/>
      <c r="N75" s="3582"/>
      <c r="O75" s="3582"/>
      <c r="P75" s="3582"/>
      <c r="Q75" s="3582"/>
      <c r="R75" s="3582"/>
      <c r="S75" s="3581"/>
      <c r="T75" s="3760"/>
    </row>
    <row customHeight="1" ht="11.25" hidden="1">
      <c r="D76" s="699"/>
      <c r="E76" s="697" t="s">
        <v>22</v>
      </c>
      <c r="F76" s="167" t="s">
        <v>22</v>
      </c>
      <c r="G76" s="167" t="s">
        <v>631</v>
      </c>
      <c r="H76" s="172" t="s">
        <v>22</v>
      </c>
      <c r="I76" s="172"/>
      <c r="J76" s="172"/>
      <c r="K76" s="172"/>
      <c r="L76" s="172"/>
      <c r="M76" s="172"/>
      <c r="N76" s="172"/>
      <c r="O76" s="172"/>
      <c r="P76" s="172"/>
      <c r="Q76" s="172"/>
      <c r="R76" s="220"/>
      <c r="S76" s="3761"/>
      <c r="T76" s="3760"/>
    </row>
    <row customHeight="1" ht="15" hidden="1">
      <c r="A77" s="3681" t="s">
        <v>133</v>
      </c>
      <c r="C77" s="3399" t="s">
        <v>22</v>
      </c>
      <c r="D77" s="211" t="s">
        <v>637</v>
      </c>
      <c r="E77" s="3753" t="s">
        <v>103</v>
      </c>
      <c r="F77" s="3754"/>
      <c r="G77" s="3755"/>
      <c r="H77" s="3442" t="str">
        <f>IF(A77="","",INDEX(DIFFERENTIATION_UNMERGE_VD,MATCH(A77,DIFFERENTIATION_ID_DIFF,0)))</f>
        <v>Горячее водоснабжение</v>
      </c>
      <c r="I77" s="3442"/>
      <c r="J77" s="3442"/>
      <c r="K77" s="3442"/>
      <c r="L77" s="3442"/>
      <c r="M77" s="3442"/>
      <c r="N77" s="3442"/>
      <c r="O77" s="3442"/>
      <c r="P77" s="3442"/>
      <c r="Q77" s="3442"/>
      <c r="R77" s="3442"/>
      <c r="S77" s="3756"/>
      <c r="T77" s="689"/>
      <c r="AE77" s="3399" t="s">
        <v>22</v>
      </c>
      <c r="AG77" s="3757" t="s">
        <v>625</v>
      </c>
      <c r="AH77" s="3758">
        <v>3</v>
      </c>
    </row>
    <row customHeight="1" ht="15" hidden="1">
      <c r="D78" s="692"/>
      <c r="E78" s="3753" t="s">
        <v>579</v>
      </c>
      <c r="F78" s="3754"/>
      <c r="G78" s="3755"/>
      <c r="H78" s="3442" t="str">
        <f>IF(A77="","",INDEX(DIFFERENTIATION_UNMERGE_AREA,MATCH(A77,DIFFERENTIATION_ID_DIFF,0)))</f>
        <v>Территория 1</v>
      </c>
      <c r="I78" s="3442"/>
      <c r="J78" s="3442"/>
      <c r="K78" s="3442"/>
      <c r="L78" s="3442"/>
      <c r="M78" s="3442"/>
      <c r="N78" s="3442"/>
      <c r="O78" s="3442"/>
      <c r="P78" s="3442"/>
      <c r="Q78" s="3442"/>
      <c r="R78" s="3442"/>
      <c r="S78" s="3756"/>
      <c r="T78" s="689"/>
    </row>
    <row customHeight="1" ht="15" hidden="1">
      <c r="D79" s="692"/>
      <c r="E79" s="3753" t="s">
        <v>580</v>
      </c>
      <c r="F79" s="3754"/>
      <c r="G79" s="3755"/>
      <c r="H79" s="3442" t="str">
        <f>IF(A77="","",INDEX(DIFFERENTIATION_UNMERGE_SYSTEM,MATCH(A77,DIFFERENTIATION_ID_DIFF,0)))</f>
        <v>г. Саратов, ул. Танкистов, 89
</v>
      </c>
      <c r="I79" s="3442"/>
      <c r="J79" s="3442"/>
      <c r="K79" s="3442"/>
      <c r="L79" s="3442"/>
      <c r="M79" s="3442"/>
      <c r="N79" s="3442"/>
      <c r="O79" s="3442"/>
      <c r="P79" s="3442"/>
      <c r="Q79" s="3442"/>
      <c r="R79" s="3442"/>
      <c r="S79" s="3756"/>
      <c r="T79" s="689"/>
    </row>
    <row customHeight="1" ht="24.75" hidden="1">
      <c r="D80" s="692"/>
      <c r="E80" s="3759" t="s">
        <v>626</v>
      </c>
      <c r="F80" s="3759"/>
      <c r="G80" s="3759"/>
      <c r="H80" s="3759"/>
      <c r="I80" s="3759"/>
      <c r="J80" s="3759"/>
      <c r="K80" s="3759"/>
      <c r="L80" s="3759"/>
      <c r="M80" s="3759"/>
      <c r="N80" s="3759"/>
      <c r="O80" s="3759"/>
      <c r="P80" s="3759"/>
      <c r="Q80" s="694">
        <f>SUMIF(T81:T82,"i",Q81:Q82)</f>
        <v>0</v>
      </c>
      <c r="R80" s="695"/>
      <c r="S80" s="3563" t="s">
        <v>627</v>
      </c>
      <c r="T80" s="689" t="s">
        <v>628</v>
      </c>
      <c r="U80" s="3471">
        <v>1</v>
      </c>
      <c r="V80" s="3471" t="s">
        <v>590</v>
      </c>
    </row>
    <row customHeight="1" ht="11.25" hidden="1">
      <c r="D81" s="692"/>
      <c r="E81" s="3582"/>
      <c r="F81" s="3582">
        <v>0</v>
      </c>
      <c r="G81" s="3582"/>
      <c r="H81" s="3582"/>
      <c r="I81" s="3582"/>
      <c r="J81" s="3582"/>
      <c r="K81" s="3582"/>
      <c r="L81" s="3582"/>
      <c r="M81" s="3582"/>
      <c r="N81" s="3582"/>
      <c r="O81" s="3582"/>
      <c r="P81" s="3582"/>
      <c r="Q81" s="3582"/>
      <c r="R81" s="3582"/>
      <c r="S81" s="3581"/>
      <c r="T81" s="3760"/>
    </row>
    <row customHeight="1" ht="11.25" hidden="1">
      <c r="D82" s="692"/>
      <c r="E82" s="697" t="s">
        <v>22</v>
      </c>
      <c r="F82" s="167" t="s">
        <v>22</v>
      </c>
      <c r="G82" s="167" t="s">
        <v>631</v>
      </c>
      <c r="H82" s="172" t="s">
        <v>22</v>
      </c>
      <c r="I82" s="172"/>
      <c r="J82" s="172"/>
      <c r="K82" s="172"/>
      <c r="L82" s="172"/>
      <c r="M82" s="172"/>
      <c r="N82" s="172"/>
      <c r="O82" s="172"/>
      <c r="P82" s="172"/>
      <c r="Q82" s="172"/>
      <c r="R82" s="220"/>
      <c r="S82" s="3761"/>
      <c r="T82" s="3760"/>
    </row>
    <row customHeight="1" ht="24.75" hidden="1">
      <c r="D83" s="692"/>
      <c r="E83" s="3759" t="s">
        <v>629</v>
      </c>
      <c r="F83" s="3759"/>
      <c r="G83" s="3759"/>
      <c r="H83" s="3759"/>
      <c r="I83" s="3759"/>
      <c r="J83" s="3759"/>
      <c r="K83" s="3759"/>
      <c r="L83" s="3759"/>
      <c r="M83" s="3759"/>
      <c r="N83" s="3759"/>
      <c r="O83" s="3759"/>
      <c r="P83" s="3759"/>
      <c r="Q83" s="694">
        <f>SUMIF(T84:T85,"i",Q84:Q85)</f>
        <v>0</v>
      </c>
      <c r="R83" s="695"/>
      <c r="S83" s="3563" t="s">
        <v>630</v>
      </c>
      <c r="T83" s="689" t="s">
        <v>628</v>
      </c>
      <c r="U83" s="3471">
        <v>1</v>
      </c>
      <c r="V83" s="3471" t="s">
        <v>590</v>
      </c>
    </row>
    <row customHeight="1" ht="11.25" hidden="1">
      <c r="D84" s="692"/>
      <c r="E84" s="3582"/>
      <c r="F84" s="3582">
        <v>0</v>
      </c>
      <c r="G84" s="3582"/>
      <c r="H84" s="3582"/>
      <c r="I84" s="3582"/>
      <c r="J84" s="3582"/>
      <c r="K84" s="3582"/>
      <c r="L84" s="3582"/>
      <c r="M84" s="3582"/>
      <c r="N84" s="3582"/>
      <c r="O84" s="3582"/>
      <c r="P84" s="3582"/>
      <c r="Q84" s="3582"/>
      <c r="R84" s="3582"/>
      <c r="S84" s="3581"/>
      <c r="T84" s="3760"/>
    </row>
    <row customHeight="1" ht="11.25" hidden="1">
      <c r="D85" s="699"/>
      <c r="E85" s="697" t="s">
        <v>22</v>
      </c>
      <c r="F85" s="167" t="s">
        <v>22</v>
      </c>
      <c r="G85" s="167" t="s">
        <v>631</v>
      </c>
      <c r="H85" s="172" t="s">
        <v>22</v>
      </c>
      <c r="I85" s="172"/>
      <c r="J85" s="172"/>
      <c r="K85" s="172"/>
      <c r="L85" s="172"/>
      <c r="M85" s="172"/>
      <c r="N85" s="172"/>
      <c r="O85" s="172"/>
      <c r="P85" s="172"/>
      <c r="Q85" s="172"/>
      <c r="R85" s="220"/>
      <c r="S85" s="3761"/>
      <c r="T85" s="3760"/>
    </row>
    <row customHeight="1" ht="15" hidden="1">
      <c r="A86" s="3681" t="s">
        <v>136</v>
      </c>
      <c r="C86" s="5774" t="s">
        <v>22</v>
      </c>
      <c r="D86" s="211" t="s">
        <v>638</v>
      </c>
      <c r="E86" s="3753" t="s">
        <v>103</v>
      </c>
      <c r="F86" s="3754"/>
      <c r="G86" s="3755"/>
      <c r="H86" s="3442" t="str">
        <f>IF(A86="","",INDEX(DIFFERENTIATION_UNMERGE_VD,MATCH(A86,DIFFERENTIATION_ID_DIFF,0)))</f>
        <v>Горячее водоснабжение</v>
      </c>
      <c r="I86" s="3442"/>
      <c r="J86" s="3442"/>
      <c r="K86" s="3442"/>
      <c r="L86" s="3442"/>
      <c r="M86" s="3442"/>
      <c r="N86" s="3442"/>
      <c r="O86" s="3442"/>
      <c r="P86" s="3442"/>
      <c r="Q86" s="3442"/>
      <c r="R86" s="3442"/>
      <c r="S86" s="3756"/>
      <c r="T86" s="689"/>
      <c r="AE86" s="5774" t="s">
        <v>22</v>
      </c>
      <c r="AG86" s="3757" t="s">
        <v>625</v>
      </c>
      <c r="AH86" s="3758">
        <v>3</v>
      </c>
    </row>
    <row customHeight="1" ht="15" hidden="1">
      <c r="D87" s="692"/>
      <c r="E87" s="3753" t="s">
        <v>579</v>
      </c>
      <c r="F87" s="3754"/>
      <c r="G87" s="3755"/>
      <c r="H87" s="3442" t="str">
        <f>IF(A86="","",INDEX(DIFFERENTIATION_UNMERGE_AREA,MATCH(A86,DIFFERENTIATION_ID_DIFF,0)))</f>
        <v>Территория 1</v>
      </c>
      <c r="I87" s="3442"/>
      <c r="J87" s="3442"/>
      <c r="K87" s="3442"/>
      <c r="L87" s="3442"/>
      <c r="M87" s="3442"/>
      <c r="N87" s="3442"/>
      <c r="O87" s="3442"/>
      <c r="P87" s="3442"/>
      <c r="Q87" s="3442"/>
      <c r="R87" s="3442"/>
      <c r="S87" s="3756"/>
      <c r="T87" s="689"/>
    </row>
    <row customHeight="1" ht="15" hidden="1">
      <c r="D88" s="692"/>
      <c r="E88" s="3753" t="s">
        <v>580</v>
      </c>
      <c r="F88" s="3754"/>
      <c r="G88" s="3755"/>
      <c r="H88" s="3442" t="str">
        <f>IF(A86="","",INDEX(DIFFERENTIATION_UNMERGE_SYSTEM,MATCH(A86,DIFFERENTIATION_ID_DIFF,0)))</f>
        <v>г. Саратов, ул. Политехническая, 47
</v>
      </c>
      <c r="I88" s="3442"/>
      <c r="J88" s="3442"/>
      <c r="K88" s="3442"/>
      <c r="L88" s="3442"/>
      <c r="M88" s="3442"/>
      <c r="N88" s="3442"/>
      <c r="O88" s="3442"/>
      <c r="P88" s="3442"/>
      <c r="Q88" s="3442"/>
      <c r="R88" s="3442"/>
      <c r="S88" s="3756"/>
      <c r="T88" s="689"/>
    </row>
    <row customHeight="1" ht="24.75" hidden="1">
      <c r="D89" s="692"/>
      <c r="E89" s="3759" t="s">
        <v>626</v>
      </c>
      <c r="F89" s="3759"/>
      <c r="G89" s="3759"/>
      <c r="H89" s="3759"/>
      <c r="I89" s="3759"/>
      <c r="J89" s="3759"/>
      <c r="K89" s="3759"/>
      <c r="L89" s="3759"/>
      <c r="M89" s="3759"/>
      <c r="N89" s="3759"/>
      <c r="O89" s="3759"/>
      <c r="P89" s="3759"/>
      <c r="Q89" s="694">
        <f>SUMIF(T90:T91,"i",Q90:Q91)</f>
        <v>0</v>
      </c>
      <c r="R89" s="695"/>
      <c r="S89" s="3563" t="s">
        <v>627</v>
      </c>
      <c r="T89" s="689" t="s">
        <v>628</v>
      </c>
      <c r="U89" s="3471">
        <v>1</v>
      </c>
      <c r="V89" s="3471" t="s">
        <v>590</v>
      </c>
    </row>
    <row customHeight="1" ht="11.25" hidden="1">
      <c r="D90" s="692"/>
      <c r="E90" s="3582"/>
      <c r="F90" s="3582">
        <v>0</v>
      </c>
      <c r="G90" s="3582"/>
      <c r="H90" s="3582"/>
      <c r="I90" s="3582"/>
      <c r="J90" s="3582"/>
      <c r="K90" s="3582"/>
      <c r="L90" s="3582"/>
      <c r="M90" s="3582"/>
      <c r="N90" s="3582"/>
      <c r="O90" s="3582"/>
      <c r="P90" s="3582"/>
      <c r="Q90" s="3582"/>
      <c r="R90" s="3582"/>
      <c r="S90" s="3581"/>
      <c r="T90" s="3760"/>
    </row>
    <row customHeight="1" ht="11.25" hidden="1">
      <c r="D91" s="692"/>
      <c r="E91" s="697" t="s">
        <v>22</v>
      </c>
      <c r="F91" s="167" t="s">
        <v>22</v>
      </c>
      <c r="G91" s="167" t="s">
        <v>631</v>
      </c>
      <c r="H91" s="172" t="s">
        <v>22</v>
      </c>
      <c r="I91" s="172"/>
      <c r="J91" s="172"/>
      <c r="K91" s="172"/>
      <c r="L91" s="172"/>
      <c r="M91" s="172"/>
      <c r="N91" s="172"/>
      <c r="O91" s="172"/>
      <c r="P91" s="172"/>
      <c r="Q91" s="172"/>
      <c r="R91" s="220"/>
      <c r="S91" s="3761"/>
      <c r="T91" s="3760"/>
    </row>
    <row customHeight="1" ht="24.75" hidden="1">
      <c r="D92" s="692"/>
      <c r="E92" s="3759" t="s">
        <v>629</v>
      </c>
      <c r="F92" s="3759"/>
      <c r="G92" s="3759"/>
      <c r="H92" s="3759"/>
      <c r="I92" s="3759"/>
      <c r="J92" s="3759"/>
      <c r="K92" s="3759"/>
      <c r="L92" s="3759"/>
      <c r="M92" s="3759"/>
      <c r="N92" s="3759"/>
      <c r="O92" s="3759"/>
      <c r="P92" s="3759"/>
      <c r="Q92" s="694">
        <f>SUMIF(T93:T94,"i",Q93:Q94)</f>
        <v>0</v>
      </c>
      <c r="R92" s="695"/>
      <c r="S92" s="3563" t="s">
        <v>630</v>
      </c>
      <c r="T92" s="689" t="s">
        <v>628</v>
      </c>
      <c r="U92" s="3471">
        <v>1</v>
      </c>
      <c r="V92" s="3471" t="s">
        <v>590</v>
      </c>
    </row>
    <row customHeight="1" ht="11.25" hidden="1">
      <c r="D93" s="692"/>
      <c r="E93" s="3582"/>
      <c r="F93" s="3582">
        <v>0</v>
      </c>
      <c r="G93" s="3582"/>
      <c r="H93" s="3582"/>
      <c r="I93" s="3582"/>
      <c r="J93" s="3582"/>
      <c r="K93" s="3582"/>
      <c r="L93" s="3582"/>
      <c r="M93" s="3582"/>
      <c r="N93" s="3582"/>
      <c r="O93" s="3582"/>
      <c r="P93" s="3582"/>
      <c r="Q93" s="3582"/>
      <c r="R93" s="3582"/>
      <c r="S93" s="3581"/>
      <c r="T93" s="3760"/>
    </row>
    <row customHeight="1" ht="11.25" hidden="1">
      <c r="D94" s="699"/>
      <c r="E94" s="697" t="s">
        <v>22</v>
      </c>
      <c r="F94" s="167" t="s">
        <v>22</v>
      </c>
      <c r="G94" s="167" t="s">
        <v>631</v>
      </c>
      <c r="H94" s="172" t="s">
        <v>22</v>
      </c>
      <c r="I94" s="172"/>
      <c r="J94" s="172"/>
      <c r="K94" s="172"/>
      <c r="L94" s="172"/>
      <c r="M94" s="172"/>
      <c r="N94" s="172"/>
      <c r="O94" s="172"/>
      <c r="P94" s="172"/>
      <c r="Q94" s="172"/>
      <c r="R94" s="220"/>
      <c r="S94" s="3761"/>
      <c r="T94" s="3760"/>
    </row>
    <row customHeight="1" ht="19.95">
      <c r="D95" s="1100"/>
      <c r="E95" s="1100"/>
      <c r="F95" s="1100"/>
      <c r="G95" s="1100"/>
      <c r="H95" s="1100"/>
      <c r="I95" s="1100"/>
      <c r="J95" s="1100"/>
      <c r="K95" s="1100"/>
      <c r="L95" s="1100"/>
      <c r="M95" s="1100"/>
      <c r="N95" s="1100"/>
      <c r="O95" s="1100"/>
      <c r="P95" s="1100"/>
      <c r="Q95" s="1100"/>
      <c r="R95" s="1100"/>
      <c r="S95" s="1100"/>
      <c r="CF95" s="3432">
        <v>19</v>
      </c>
    </row>
    <row customHeight="1" ht="11.549999999999999">
      <c r="CF96" s="3432">
        <v>11</v>
      </c>
    </row>
    <row customHeight="1" ht="11.549999999999999">
      <c r="CF97" s="3432">
        <v>11</v>
      </c>
    </row>
    <row customHeight="1" ht="11.549999999999999">
      <c r="CF98" s="3432">
        <v>11</v>
      </c>
    </row>
    <row customHeight="1" ht="11.549999999999999">
      <c r="CF99" s="3432">
        <v>11</v>
      </c>
    </row>
    <row customHeight="1" ht="11.549999999999999">
      <c r="CF100" s="3432">
        <v>11</v>
      </c>
    </row>
    <row customHeight="1" ht="11.25" hidden="1">
      <c r="A101" s="1101" t="s">
        <v>80</v>
      </c>
      <c r="B101" s="3430">
        <v>0</v>
      </c>
      <c r="C101" s="3432">
        <v>3</v>
      </c>
      <c r="D101" s="3432">
        <v>0</v>
      </c>
      <c r="E101" s="3432">
        <v>7</v>
      </c>
      <c r="F101" s="3432">
        <v>7</v>
      </c>
      <c r="G101" s="3432">
        <v>29</v>
      </c>
      <c r="H101" s="3432">
        <v>3</v>
      </c>
      <c r="I101" s="3432">
        <v>5</v>
      </c>
      <c r="J101" s="3432">
        <v>24</v>
      </c>
      <c r="K101" s="3432">
        <v>24</v>
      </c>
      <c r="L101" s="3432">
        <v>3</v>
      </c>
      <c r="M101" s="3432">
        <v>6</v>
      </c>
      <c r="N101" s="3432">
        <v>25</v>
      </c>
      <c r="O101" s="3432">
        <v>18</v>
      </c>
      <c r="P101" s="3432">
        <v>18</v>
      </c>
      <c r="Q101" s="3432">
        <v>18</v>
      </c>
      <c r="R101" s="3432">
        <v>18</v>
      </c>
      <c r="S101" s="3432">
        <v>93</v>
      </c>
      <c r="T101" s="3432">
        <v>10</v>
      </c>
      <c r="U101" s="3473">
        <v>10</v>
      </c>
      <c r="V101" s="3473">
        <v>11</v>
      </c>
      <c r="W101" s="3430">
        <v>10</v>
      </c>
      <c r="X101" s="3430">
        <v>10</v>
      </c>
      <c r="Y101" s="3430">
        <v>10</v>
      </c>
      <c r="Z101" s="3430">
        <v>10</v>
      </c>
      <c r="AA101" s="3430">
        <v>10</v>
      </c>
      <c r="AB101" s="3432">
        <v>8</v>
      </c>
      <c r="AC101" s="3432">
        <v>8</v>
      </c>
      <c r="AD101" s="3432">
        <v>8</v>
      </c>
      <c r="AE101" s="3432">
        <v>8</v>
      </c>
      <c r="AF101" s="3432">
        <v>8</v>
      </c>
      <c r="AG101" s="3432">
        <v>8</v>
      </c>
      <c r="AH101" s="3432">
        <v>8</v>
      </c>
      <c r="AI101" s="3432">
        <v>8</v>
      </c>
      <c r="AJ101" s="3432">
        <v>8</v>
      </c>
      <c r="AK101" s="3432">
        <v>8</v>
      </c>
      <c r="AL101" s="3432">
        <v>8</v>
      </c>
      <c r="AM101" s="3432">
        <v>8</v>
      </c>
      <c r="AN101" s="3432">
        <v>8</v>
      </c>
      <c r="AO101" s="3432">
        <v>8</v>
      </c>
      <c r="AP101" s="3432">
        <v>8</v>
      </c>
      <c r="AQ101" s="3432">
        <v>8</v>
      </c>
      <c r="AR101" s="3432">
        <v>8</v>
      </c>
      <c r="AS101" s="3432">
        <v>8</v>
      </c>
      <c r="AT101" s="3432">
        <v>8</v>
      </c>
      <c r="AU101" s="3432">
        <v>8</v>
      </c>
      <c r="AV101" s="3432">
        <v>8</v>
      </c>
      <c r="AW101" s="3432">
        <v>8</v>
      </c>
      <c r="AX101" s="3432">
        <v>8</v>
      </c>
      <c r="AY101" s="3432">
        <v>8</v>
      </c>
      <c r="AZ101" s="3432">
        <v>8</v>
      </c>
      <c r="BA101" s="3432">
        <v>8</v>
      </c>
      <c r="BB101" s="3432">
        <v>8</v>
      </c>
      <c r="BC101" s="3432">
        <v>8</v>
      </c>
      <c r="BD101" s="3432">
        <v>8</v>
      </c>
      <c r="BE101" s="3432">
        <v>8</v>
      </c>
      <c r="BF101" s="3432">
        <v>8</v>
      </c>
      <c r="BG101" s="3432">
        <v>8</v>
      </c>
      <c r="BH101" s="3432">
        <v>8</v>
      </c>
      <c r="BI101" s="3432">
        <v>8</v>
      </c>
      <c r="BJ101" s="3432">
        <v>8</v>
      </c>
      <c r="BK101" s="3432">
        <v>8</v>
      </c>
      <c r="BL101" s="3432">
        <v>8</v>
      </c>
      <c r="BM101" s="3432">
        <v>8</v>
      </c>
      <c r="BN101" s="3432">
        <v>8</v>
      </c>
      <c r="BO101" s="3432">
        <v>8</v>
      </c>
      <c r="BP101" s="3432">
        <v>8</v>
      </c>
      <c r="BQ101" s="3432">
        <v>8</v>
      </c>
      <c r="BR101" s="3432">
        <v>8</v>
      </c>
      <c r="BS101" s="3432">
        <v>8</v>
      </c>
      <c r="BT101" s="3432">
        <v>8</v>
      </c>
      <c r="BU101" s="3432">
        <v>8</v>
      </c>
      <c r="BV101" s="3432">
        <v>8</v>
      </c>
      <c r="BW101" s="3432">
        <v>8</v>
      </c>
      <c r="BX101" s="3432">
        <v>8</v>
      </c>
      <c r="BY101" s="3432">
        <v>8</v>
      </c>
      <c r="BZ101" s="3432">
        <v>8</v>
      </c>
      <c r="CA101" s="3432">
        <v>8</v>
      </c>
      <c r="CB101" s="3432">
        <v>8</v>
      </c>
      <c r="CC101" s="3432">
        <v>8</v>
      </c>
      <c r="CD101" s="3432">
        <v>8</v>
      </c>
      <c r="CE101" s="3432">
        <v>8</v>
      </c>
      <c r="CF101" s="3432">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471D7-9D07-3CA6-8548-70F76E8B0BC6}" mc:Ignorable="x14ac xr xr2 xr3">
  <sheetPr>
    <tabColor theme="9" tint="-0.25"/>
  </sheetPr>
  <dimension ref="A1:AS204"/>
  <sheetViews>
    <sheetView topLeftCell="A1" showGridLines="0" zoomScale="90" workbookViewId="0">
      <selection activeCell="U9" sqref="U9"/>
    </sheetView>
  </sheetViews>
  <sheetFormatPr defaultColWidth="9.140625" customHeight="1" defaultRowHeight="11.25"/>
  <cols>
    <col min="1" max="5" style="7348" width="10.7109375" hidden="1" customWidth="1"/>
    <col min="6" max="6" style="7348" width="16.8515625" hidden="1" customWidth="1"/>
    <col min="7" max="7" style="7348" width="5.57421875" hidden="1" customWidth="1"/>
    <col min="8" max="8" style="7348" width="3.00390625" customWidth="1"/>
    <col min="9" max="9" style="7348" width="7.00390625" customWidth="1"/>
    <col min="10" max="10" style="7348" width="56.00390625" customWidth="1"/>
    <col min="11" max="11" style="7348" width="10.00390625" customWidth="1"/>
    <col min="12" max="12" style="7348" width="40.57421875" hidden="1" customWidth="1"/>
    <col min="13" max="13" style="7348" width="40.7109375" customWidth="1"/>
    <col min="14" max="21" style="7348" width="40.57421875" customWidth="1"/>
    <col min="22" max="22" style="7348" width="9.7109375" hidden="1" customWidth="1"/>
    <col min="23" max="23" style="7348" width="102.00390625" customWidth="1"/>
    <col min="24" max="24" style="7348" width="9.00390625" customWidth="1"/>
    <col min="25" max="25" style="7348" width="5.00390625" customWidth="1"/>
    <col min="26" max="30" style="7348" width="3.00390625" customWidth="1"/>
    <col min="31" max="31" style="7348" width="10.00390625" customWidth="1"/>
    <col min="32" max="32" style="7348" width="34.00390625" customWidth="1"/>
    <col min="33" max="33" style="7348" width="9.00390625" customWidth="1"/>
    <col min="34" max="44" style="7348" width="8.00390625" customWidth="1"/>
    <col min="45" max="45" style="7348" width="5.421875" hidden="1" customWidth="1"/>
  </cols>
  <sheetData>
    <row customHeight="1" ht="33.75" hidden="1">
      <c r="L1" s="3449">
        <v>4</v>
      </c>
      <c r="M1" s="3449">
        <v>4</v>
      </c>
      <c r="N1" s="3449">
        <v>4</v>
      </c>
      <c r="O1" s="3449">
        <v>4</v>
      </c>
      <c r="P1" s="3449">
        <v>4</v>
      </c>
      <c r="Q1" s="3449">
        <v>4</v>
      </c>
      <c r="R1" s="3449">
        <v>4</v>
      </c>
      <c r="S1" s="3449">
        <v>4</v>
      </c>
      <c r="T1" s="3449">
        <v>4</v>
      </c>
      <c r="U1" s="3449">
        <v>4</v>
      </c>
      <c r="AS1" s="3449" t="s">
        <v>14</v>
      </c>
    </row>
    <row customHeight="1" ht="78.75" hidden="1">
      <c r="B2" s="3990" t="s">
        <v>639</v>
      </c>
      <c r="C2" s="3990" t="s">
        <v>640</v>
      </c>
      <c r="D2" s="3991" t="s">
        <v>641</v>
      </c>
      <c r="E2" s="1148">
        <f>RIGHT(I2,LEN(I2)-SEARCH("#",SUBSTITUTE(I2,".","#",LEN(I2)-LEN(SUBSTITUTE(I2,".","")))))</f>
      </c>
      <c r="F2" s="1148">
        <f>J2</f>
        <v>0</v>
      </c>
      <c r="I2" s="204"/>
      <c r="J2" s="157"/>
      <c r="K2" s="3436" t="s">
        <v>571</v>
      </c>
      <c r="L2" s="838"/>
      <c r="M2" s="838"/>
      <c r="N2" s="838"/>
      <c r="O2" s="838"/>
      <c r="P2" s="838"/>
      <c r="Q2" s="838"/>
      <c r="R2" s="838"/>
      <c r="S2" s="838"/>
      <c r="T2" s="838"/>
      <c r="U2" s="838"/>
      <c r="W2" s="3764" t="s">
        <v>572</v>
      </c>
      <c r="AS2" s="3449">
        <v>0</v>
      </c>
    </row>
    <row customHeight="1" ht="11.25" hidden="1">
      <c r="E3" s="1149" t="s">
        <v>642</v>
      </c>
      <c r="L3" s="3432">
        <f>0</f>
        <v>0</v>
      </c>
      <c r="M3" s="3432">
        <v>1</v>
      </c>
      <c r="N3" s="3432">
        <f>0</f>
        <v>0</v>
      </c>
      <c r="O3" s="3432">
        <f>0</f>
        <v>0</v>
      </c>
      <c r="P3" s="3432">
        <f>0</f>
        <v>0</v>
      </c>
      <c r="Q3" s="3432">
        <f>0</f>
        <v>0</v>
      </c>
      <c r="R3" s="3432">
        <f>0</f>
        <v>0</v>
      </c>
      <c r="S3" s="3432">
        <f>0</f>
        <v>0</v>
      </c>
      <c r="T3" s="3432">
        <f>0</f>
        <v>0</v>
      </c>
      <c r="U3" s="3432">
        <f>0</f>
        <v>0</v>
      </c>
      <c r="AS3" s="3432">
        <v>0</v>
      </c>
    </row>
    <row customHeight="1" ht="11.25" hidden="1">
      <c r="W4" s="3430">
        <v>4</v>
      </c>
      <c r="AS4" s="3430">
        <v>0</v>
      </c>
    </row>
    <row customHeight="1" ht="11.549999999999999">
      <c r="AS5" s="3432">
        <v>11</v>
      </c>
    </row>
    <row customHeight="1" ht="57.75">
      <c r="I6" s="3553" t="s">
        <v>643</v>
      </c>
      <c r="J6" s="3553"/>
      <c r="K6" s="3553"/>
      <c r="L6" s="3553"/>
      <c r="M6" s="3553"/>
      <c r="N6" s="3553"/>
      <c r="O6" s="3553"/>
      <c r="P6" s="3553"/>
      <c r="Q6" s="3553"/>
      <c r="R6" s="3553"/>
      <c r="S6" s="3553"/>
      <c r="T6" s="3553"/>
      <c r="U6" s="3553"/>
      <c r="AS6" s="3432">
        <v>55</v>
      </c>
    </row>
    <row customHeight="1" ht="25.2">
      <c r="I7" s="3554" t="str">
        <f>IF(org=0,"Не определено",org)</f>
        <v>ООО "ТеплоЭлектроГенерирующая Компания"</v>
      </c>
      <c r="J7" s="3554"/>
      <c r="K7" s="3554"/>
      <c r="L7" s="3554"/>
      <c r="M7" s="3554"/>
      <c r="N7" s="3554"/>
      <c r="O7" s="3554"/>
      <c r="P7" s="3554"/>
      <c r="Q7" s="3554"/>
      <c r="R7" s="3554"/>
      <c r="S7" s="3554"/>
      <c r="T7" s="3554"/>
      <c r="U7" s="3554"/>
      <c r="AS7" s="3432">
        <v>24</v>
      </c>
    </row>
    <row customHeight="1" ht="11.549999999999999">
      <c r="N8" s="3399" t="s">
        <v>22</v>
      </c>
      <c r="O8" s="3399" t="s">
        <v>22</v>
      </c>
      <c r="P8" s="3399" t="s">
        <v>22</v>
      </c>
      <c r="Q8" s="3399" t="s">
        <v>22</v>
      </c>
      <c r="R8" s="3399" t="s">
        <v>22</v>
      </c>
      <c r="S8" s="3399" t="s">
        <v>22</v>
      </c>
      <c r="T8" s="3399" t="s">
        <v>22</v>
      </c>
      <c r="U8" s="3399" t="s">
        <v>22</v>
      </c>
      <c r="AS8" s="3432">
        <v>11</v>
      </c>
    </row>
    <row customHeight="1" ht="30" hidden="1">
      <c r="L9" s="3953"/>
      <c r="M9" s="3953" t="s">
        <v>116</v>
      </c>
      <c r="N9" s="3953" t="s">
        <v>121</v>
      </c>
      <c r="O9" s="3953" t="s">
        <v>123</v>
      </c>
      <c r="P9" s="3953" t="s">
        <v>125</v>
      </c>
      <c r="Q9" s="3953" t="s">
        <v>127</v>
      </c>
      <c r="R9" s="3953" t="s">
        <v>129</v>
      </c>
      <c r="S9" s="3953" t="s">
        <v>131</v>
      </c>
      <c r="T9" s="3953" t="s">
        <v>133</v>
      </c>
      <c r="U9" s="3953" t="s">
        <v>136</v>
      </c>
      <c r="AS9" s="3473">
        <v>1</v>
      </c>
    </row>
    <row customHeight="1" ht="11.549999999999999">
      <c r="E10" s="1150" t="s">
        <v>644</v>
      </c>
      <c r="I10" s="3924"/>
      <c r="J10" s="3925" t="s">
        <v>103</v>
      </c>
      <c r="K10" s="3926"/>
      <c r="L10" s="3954" t="str">
        <f>IF(L9="","",INDEX(DIFFERENTIATION_UNMERGE_VD,MATCH(L9,DIFFERENTIATION_ID_DIFF,0)))</f>
        <v/>
      </c>
      <c r="M10" s="3954" t="str">
        <f>IF(M9="","",INDEX(DIFFERENTIATION_UNMERGE_VD,MATCH(M9,DIFFERENTIATION_ID_DIFF,0)))</f>
        <v>Горячее водоснабжение</v>
      </c>
      <c r="N10" s="3954" t="str">
        <f>IF(N9="","",INDEX(DIFFERENTIATION_UNMERGE_VD,MATCH(N9,DIFFERENTIATION_ID_DIFF,0)))</f>
        <v>Горячее водоснабжение</v>
      </c>
      <c r="O10" s="3954" t="str">
        <f>IF(O9="","",INDEX(DIFFERENTIATION_UNMERGE_VD,MATCH(O9,DIFFERENTIATION_ID_DIFF,0)))</f>
        <v>Горячее водоснабжение</v>
      </c>
      <c r="P10" s="3954" t="str">
        <f>IF(P9="","",INDEX(DIFFERENTIATION_UNMERGE_VD,MATCH(P9,DIFFERENTIATION_ID_DIFF,0)))</f>
        <v>Горячее водоснабжение</v>
      </c>
      <c r="Q10" s="3954" t="str">
        <f>IF(Q9="","",INDEX(DIFFERENTIATION_UNMERGE_VD,MATCH(Q9,DIFFERENTIATION_ID_DIFF,0)))</f>
        <v>Горячее водоснабжение</v>
      </c>
      <c r="R10" s="3954" t="str">
        <f>IF(R9="","",INDEX(DIFFERENTIATION_UNMERGE_VD,MATCH(R9,DIFFERENTIATION_ID_DIFF,0)))</f>
        <v>Горячее водоснабжение</v>
      </c>
      <c r="S10" s="3954" t="str">
        <f>IF(S9="","",INDEX(DIFFERENTIATION_UNMERGE_VD,MATCH(S9,DIFFERENTIATION_ID_DIFF,0)))</f>
        <v>Горячее водоснабжение</v>
      </c>
      <c r="T10" s="3954" t="str">
        <f>IF(T9="","",INDEX(DIFFERENTIATION_UNMERGE_VD,MATCH(T9,DIFFERENTIATION_ID_DIFF,0)))</f>
        <v>Горячее водоснабжение</v>
      </c>
      <c r="U10" s="3954" t="str">
        <f>IF(U9="","",INDEX(DIFFERENTIATION_UNMERGE_VD,MATCH(U9,DIFFERENTIATION_ID_DIFF,0)))</f>
        <v>Горячее водоснабжение</v>
      </c>
      <c r="W10" s="3480" t="s">
        <v>316</v>
      </c>
      <c r="AS10" s="3432">
        <v>11</v>
      </c>
    </row>
    <row customHeight="1" ht="11.549999999999999">
      <c r="E11" s="1150" t="s">
        <v>645</v>
      </c>
      <c r="I11" s="3924"/>
      <c r="J11" s="3925" t="s">
        <v>579</v>
      </c>
      <c r="K11" s="3926"/>
      <c r="L11" s="3954" t="str">
        <f>IF(L9="","",INDEX(DIFFERENTIATION_UNMERGE_AREA,MATCH(L9,DIFFERENTIATION_ID_DIFF,0)))</f>
        <v/>
      </c>
      <c r="M11" s="3954" t="str">
        <f>IF(M9="","",INDEX(DIFFERENTIATION_UNMERGE_AREA,MATCH(M9,DIFFERENTIATION_ID_DIFF,0)))</f>
        <v>Территория 1</v>
      </c>
      <c r="N11" s="3954" t="str">
        <f>IF(N9="","",INDEX(DIFFERENTIATION_UNMERGE_AREA,MATCH(N9,DIFFERENTIATION_ID_DIFF,0)))</f>
        <v>Территория 1</v>
      </c>
      <c r="O11" s="3954" t="str">
        <f>IF(O9="","",INDEX(DIFFERENTIATION_UNMERGE_AREA,MATCH(O9,DIFFERENTIATION_ID_DIFF,0)))</f>
        <v>Территория 1</v>
      </c>
      <c r="P11" s="3954" t="str">
        <f>IF(P9="","",INDEX(DIFFERENTIATION_UNMERGE_AREA,MATCH(P9,DIFFERENTIATION_ID_DIFF,0)))</f>
        <v>Территория 1</v>
      </c>
      <c r="Q11" s="3954" t="str">
        <f>IF(Q9="","",INDEX(DIFFERENTIATION_UNMERGE_AREA,MATCH(Q9,DIFFERENTIATION_ID_DIFF,0)))</f>
        <v>Территория 1</v>
      </c>
      <c r="R11" s="3954" t="str">
        <f>IF(R9="","",INDEX(DIFFERENTIATION_UNMERGE_AREA,MATCH(R9,DIFFERENTIATION_ID_DIFF,0)))</f>
        <v>Территория 1</v>
      </c>
      <c r="S11" s="3954" t="str">
        <f>IF(S9="","",INDEX(DIFFERENTIATION_UNMERGE_AREA,MATCH(S9,DIFFERENTIATION_ID_DIFF,0)))</f>
        <v>Территория 1</v>
      </c>
      <c r="T11" s="3954" t="str">
        <f>IF(T9="","",INDEX(DIFFERENTIATION_UNMERGE_AREA,MATCH(T9,DIFFERENTIATION_ID_DIFF,0)))</f>
        <v>Территория 1</v>
      </c>
      <c r="U11" s="3954" t="str">
        <f>IF(U9="","",INDEX(DIFFERENTIATION_UNMERGE_AREA,MATCH(U9,DIFFERENTIATION_ID_DIFF,0)))</f>
        <v>Территория 1</v>
      </c>
      <c r="W11" s="3480"/>
      <c r="AS11" s="3432">
        <v>11</v>
      </c>
    </row>
    <row customHeight="1" ht="11.549999999999999">
      <c r="E12" s="1150" t="s">
        <v>646</v>
      </c>
      <c r="I12" s="3975"/>
      <c r="J12" s="3925" t="s">
        <v>580</v>
      </c>
      <c r="K12" s="3926"/>
      <c r="L12" s="3954" t="str">
        <f>IF(L9="","",INDEX(DIFFERENTIATION_UNMERGE_SYSTEM,MATCH(L9,DIFFERENTIATION_ID_DIFF,0)))</f>
        <v/>
      </c>
      <c r="M12" s="3954" t="str">
        <f>IF(M9="","",INDEX(DIFFERENTIATION_UNMERGE_SYSTEM,MATCH(M9,DIFFERENTIATION_ID_DIFF,0)))</f>
        <v>г. Саратов, ул.Деловая, 22, п. Юбилейный
</v>
      </c>
      <c r="N12" s="3954" t="str">
        <f>IF(N9="","",INDEX(DIFFERENTIATION_UNMERGE_SYSTEM,MATCH(N9,DIFFERENTIATION_ID_DIFF,0)))</f>
        <v>г. Саратов, ул. Вавилова,8/26 А
</v>
      </c>
      <c r="O12" s="3954" t="str">
        <f>IF(O9="","",INDEX(DIFFERENTIATION_UNMERGE_SYSTEM,MATCH(O9,DIFFERENTIATION_ID_DIFF,0)))</f>
        <v>г. Саратов, пр. 50 лет Октября, 60, 74, 108, ЦТП Волочаевский пр., 5, ЦТП Соколовая, 145/153
</v>
      </c>
      <c r="P12" s="3954" t="str">
        <f>IF(P9="","",INDEX(DIFFERENTIATION_UNMERGE_SYSTEM,MATCH(P9,DIFFERENTIATION_ID_DIFF,0)))</f>
        <v>г. Саратов, ул. Шелковичная, 186, ул. Шелковичная, 178, ул. Шелковичная, 155/161, ул. 2-я Садовая, 106 б.
</v>
      </c>
      <c r="Q12" s="3954" t="str">
        <f>IF(Q9="","",INDEX(DIFFERENTIATION_UNMERGE_SYSTEM,MATCH(Q9,DIFFERENTIATION_ID_DIFF,0)))</f>
        <v>г. Саратов, ул. Ломоносова, 1
</v>
      </c>
      <c r="R12" s="3954" t="str">
        <f>IF(R9="","",INDEX(DIFFERENTIATION_UNMERGE_SYSTEM,MATCH(R9,DIFFERENTIATION_ID_DIFF,0)))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S12" s="3954" t="str">
        <f>IF(S9="","",INDEX(DIFFERENTIATION_UNMERGE_SYSTEM,MATCH(S9,DIFFERENTIATION_ID_DIFF,0)))</f>
        <v>г. Саратов, ул. Огородная, 77
</v>
      </c>
      <c r="T12" s="3954" t="str">
        <f>IF(T9="","",INDEX(DIFFERENTIATION_UNMERGE_SYSTEM,MATCH(T9,DIFFERENTIATION_ID_DIFF,0)))</f>
        <v>г. Саратов, ул. Танкистов, 89
</v>
      </c>
      <c r="U12" s="3954" t="str">
        <f>IF(U9="","",INDEX(DIFFERENTIATION_UNMERGE_SYSTEM,MATCH(U9,DIFFERENTIATION_ID_DIFF,0)))</f>
        <v>г. Саратов, ул. Политехническая, 47
</v>
      </c>
      <c r="W12" s="3480"/>
      <c r="AS12" s="3432">
        <v>11</v>
      </c>
    </row>
    <row customHeight="1" ht="11.549999999999999">
      <c r="E13" s="1150" t="s">
        <v>647</v>
      </c>
      <c r="F13" s="1150" t="s">
        <v>648</v>
      </c>
      <c r="I13" s="3929" t="s">
        <v>315</v>
      </c>
      <c r="J13" s="3930"/>
      <c r="K13" s="3930"/>
      <c r="L13" s="3925"/>
      <c r="M13" s="3992"/>
      <c r="N13" s="3925"/>
      <c r="O13" s="3925"/>
      <c r="P13" s="3925"/>
      <c r="Q13" s="3925"/>
      <c r="R13" s="3925"/>
      <c r="S13" s="3925"/>
      <c r="T13" s="3925"/>
      <c r="U13" s="3925"/>
      <c r="W13" s="3480"/>
      <c r="AS13" s="3432">
        <v>11</v>
      </c>
    </row>
    <row customHeight="1" ht="24">
      <c r="I14" s="3480" t="s">
        <v>86</v>
      </c>
      <c r="J14" s="3480" t="s">
        <v>317</v>
      </c>
      <c r="K14" s="3480" t="s">
        <v>581</v>
      </c>
      <c r="L14" s="3437" t="s">
        <v>318</v>
      </c>
      <c r="M14" s="3480" t="s">
        <v>318</v>
      </c>
      <c r="N14" s="3437" t="s">
        <v>318</v>
      </c>
      <c r="O14" s="3437" t="s">
        <v>318</v>
      </c>
      <c r="P14" s="3437" t="s">
        <v>318</v>
      </c>
      <c r="Q14" s="3437" t="s">
        <v>318</v>
      </c>
      <c r="R14" s="3437" t="s">
        <v>318</v>
      </c>
      <c r="S14" s="3437" t="s">
        <v>318</v>
      </c>
      <c r="T14" s="3437" t="s">
        <v>318</v>
      </c>
      <c r="U14" s="3437" t="s">
        <v>318</v>
      </c>
      <c r="W14" s="3480"/>
      <c r="AS14" s="3432">
        <v>23</v>
      </c>
    </row>
    <row customHeight="1" ht="24">
      <c r="B15" s="3990" t="s">
        <v>649</v>
      </c>
      <c r="C15" s="3990" t="s">
        <v>650</v>
      </c>
      <c r="D15" s="3991" t="s">
        <v>651</v>
      </c>
      <c r="E15" s="1148" t="s">
        <v>652</v>
      </c>
      <c r="F15" s="1148" t="s">
        <v>652</v>
      </c>
      <c r="G15" s="3473" t="s">
        <v>604</v>
      </c>
      <c r="I15" s="1106">
        <v>1</v>
      </c>
      <c r="J15" s="3563" t="s">
        <v>653</v>
      </c>
      <c r="K15" s="3480" t="s">
        <v>321</v>
      </c>
      <c r="L15" s="775"/>
      <c r="M15" s="431"/>
      <c r="N15" s="775"/>
      <c r="O15" s="775"/>
      <c r="P15" s="775"/>
      <c r="Q15" s="775"/>
      <c r="R15" s="775"/>
      <c r="S15" s="775"/>
      <c r="T15" s="775"/>
      <c r="U15" s="775"/>
      <c r="V15" s="3979" t="s">
        <v>654</v>
      </c>
      <c r="W15" s="3764" t="s">
        <v>655</v>
      </c>
      <c r="X15" s="3979" t="s">
        <v>654</v>
      </c>
      <c r="AS15" s="3432">
        <v>23</v>
      </c>
    </row>
    <row customHeight="1" ht="35.699999999999996">
      <c r="B16" s="3990" t="s">
        <v>656</v>
      </c>
      <c r="C16" s="3990" t="s">
        <v>657</v>
      </c>
      <c r="D16" s="3991" t="s">
        <v>641</v>
      </c>
      <c r="E16" s="1148" t="s">
        <v>652</v>
      </c>
      <c r="F16" s="1148" t="s">
        <v>652</v>
      </c>
      <c r="I16" s="1113">
        <v>2</v>
      </c>
      <c r="J16" s="3567" t="s">
        <v>658</v>
      </c>
      <c r="K16" s="3558" t="s">
        <v>571</v>
      </c>
      <c r="L16" s="1152"/>
      <c r="M16" s="1110"/>
      <c r="N16" s="1152"/>
      <c r="O16" s="1152"/>
      <c r="P16" s="1152"/>
      <c r="Q16" s="1152"/>
      <c r="R16" s="1152"/>
      <c r="S16" s="1152"/>
      <c r="T16" s="1152"/>
      <c r="U16" s="1152"/>
      <c r="V16" s="3979" t="s">
        <v>654</v>
      </c>
      <c r="W16" s="3764" t="s">
        <v>659</v>
      </c>
      <c r="X16" s="3979" t="s">
        <v>654</v>
      </c>
      <c r="AS16" s="3432">
        <v>34</v>
      </c>
    </row>
    <row customHeight="1" ht="17.25" hidden="1">
      <c r="I17" s="3481" t="s">
        <v>660</v>
      </c>
      <c r="J17" s="3963"/>
      <c r="K17" s="3481"/>
      <c r="L17" s="1074"/>
      <c r="M17" s="1074"/>
      <c r="N17" s="1074"/>
      <c r="O17" s="1074"/>
      <c r="P17" s="1074"/>
      <c r="Q17" s="1074"/>
      <c r="R17" s="1074"/>
      <c r="S17" s="1074"/>
      <c r="T17" s="1074"/>
      <c r="U17" s="1074"/>
      <c r="W17" s="3865"/>
      <c r="AS17" s="3473">
        <v>1</v>
      </c>
    </row>
    <row customHeight="1" ht="24">
      <c r="I18" s="1067"/>
      <c r="J18" s="226" t="s">
        <v>602</v>
      </c>
      <c r="K18" s="3727"/>
      <c r="L18" s="3993"/>
      <c r="M18" s="3935"/>
      <c r="N18" s="3993"/>
      <c r="O18" s="3993"/>
      <c r="P18" s="3993"/>
      <c r="Q18" s="3993"/>
      <c r="R18" s="3993"/>
      <c r="S18" s="3993"/>
      <c r="T18" s="3993"/>
      <c r="U18" s="3993"/>
      <c r="W18" s="3764" t="s">
        <v>603</v>
      </c>
      <c r="AS18" s="3449">
        <v>23</v>
      </c>
    </row>
    <row customHeight="1" ht="19.95">
      <c r="B19" s="3990" t="s">
        <v>661</v>
      </c>
      <c r="C19" s="3990" t="s">
        <v>662</v>
      </c>
      <c r="D19" s="3991" t="s">
        <v>641</v>
      </c>
      <c r="E19" s="1148" t="s">
        <v>652</v>
      </c>
      <c r="F19" s="1148" t="s">
        <v>652</v>
      </c>
      <c r="I19" s="1108">
        <v>3</v>
      </c>
      <c r="J19" s="3563" t="s">
        <v>662</v>
      </c>
      <c r="K19" s="3477" t="s">
        <v>571</v>
      </c>
      <c r="L19" s="1143"/>
      <c r="M19" s="1057"/>
      <c r="N19" s="1143"/>
      <c r="O19" s="1143"/>
      <c r="P19" s="1143"/>
      <c r="Q19" s="1143"/>
      <c r="R19" s="1143"/>
      <c r="S19" s="1143"/>
      <c r="T19" s="1143"/>
      <c r="U19" s="1143"/>
      <c r="W19" s="3764" t="s">
        <v>663</v>
      </c>
      <c r="AS19" s="3432">
        <v>19</v>
      </c>
    </row>
    <row customHeight="1" ht="77.7">
      <c r="B20" s="3990" t="s">
        <v>664</v>
      </c>
      <c r="C20" s="3990" t="s">
        <v>665</v>
      </c>
      <c r="D20" s="3991" t="s">
        <v>641</v>
      </c>
      <c r="E20" s="1148" t="s">
        <v>652</v>
      </c>
      <c r="F20" s="1148" t="s">
        <v>652</v>
      </c>
      <c r="I20" s="1108">
        <v>4</v>
      </c>
      <c r="J20" s="3563" t="s">
        <v>666</v>
      </c>
      <c r="K20" s="3477" t="s">
        <v>599</v>
      </c>
      <c r="L20" s="1143"/>
      <c r="M20" s="1057"/>
      <c r="N20" s="1143"/>
      <c r="O20" s="1143"/>
      <c r="P20" s="1143"/>
      <c r="Q20" s="1143"/>
      <c r="R20" s="1143"/>
      <c r="S20" s="1143"/>
      <c r="T20" s="1143"/>
      <c r="U20" s="1143"/>
      <c r="W20" s="3764"/>
      <c r="AS20" s="3432">
        <v>74</v>
      </c>
    </row>
    <row customHeight="1" ht="35.699999999999996">
      <c r="B21" s="3990" t="s">
        <v>667</v>
      </c>
      <c r="C21" s="3990" t="s">
        <v>668</v>
      </c>
      <c r="D21" s="3991" t="s">
        <v>641</v>
      </c>
      <c r="E21" s="1148" t="s">
        <v>652</v>
      </c>
      <c r="F21" s="1148" t="s">
        <v>652</v>
      </c>
      <c r="I21" s="1108">
        <v>5</v>
      </c>
      <c r="J21" s="3563" t="s">
        <v>669</v>
      </c>
      <c r="K21" s="3477" t="s">
        <v>599</v>
      </c>
      <c r="L21" s="1143"/>
      <c r="M21" s="1057"/>
      <c r="N21" s="1143"/>
      <c r="O21" s="1143"/>
      <c r="P21" s="1143"/>
      <c r="Q21" s="1143"/>
      <c r="R21" s="1143"/>
      <c r="S21" s="1143"/>
      <c r="T21" s="1143"/>
      <c r="U21" s="1143"/>
      <c r="W21" s="3764" t="s">
        <v>663</v>
      </c>
      <c r="AS21" s="3432">
        <v>34</v>
      </c>
    </row>
    <row customHeight="1" ht="48.29999999999999">
      <c r="B22" s="3990" t="s">
        <v>670</v>
      </c>
      <c r="C22" s="3990" t="s">
        <v>671</v>
      </c>
      <c r="D22" s="3991" t="s">
        <v>641</v>
      </c>
      <c r="E22" s="1148" t="s">
        <v>652</v>
      </c>
      <c r="F22" s="1148" t="s">
        <v>652</v>
      </c>
      <c r="I22" s="1108">
        <v>6</v>
      </c>
      <c r="J22" s="3563" t="s">
        <v>672</v>
      </c>
      <c r="K22" s="3477" t="s">
        <v>599</v>
      </c>
      <c r="L22" s="1143"/>
      <c r="M22" s="1057"/>
      <c r="N22" s="1143"/>
      <c r="O22" s="1143"/>
      <c r="P22" s="1143"/>
      <c r="Q22" s="1143"/>
      <c r="R22" s="1143"/>
      <c r="S22" s="1143"/>
      <c r="T22" s="1143"/>
      <c r="U22" s="1143"/>
      <c r="W22" s="3764" t="s">
        <v>673</v>
      </c>
      <c r="AS22" s="3432">
        <v>46</v>
      </c>
    </row>
    <row customHeight="1" ht="19.95">
      <c r="B23" s="3990" t="s">
        <v>674</v>
      </c>
      <c r="C23" s="3990" t="s">
        <v>675</v>
      </c>
      <c r="D23" s="3991" t="s">
        <v>641</v>
      </c>
      <c r="E23" s="1148" t="s">
        <v>652</v>
      </c>
      <c r="F23" s="1148" t="s">
        <v>652</v>
      </c>
      <c r="I23" s="1108" t="s">
        <v>676</v>
      </c>
      <c r="J23" s="3912" t="s">
        <v>677</v>
      </c>
      <c r="K23" s="3477" t="s">
        <v>599</v>
      </c>
      <c r="L23" s="1143"/>
      <c r="M23" s="1057"/>
      <c r="N23" s="1143"/>
      <c r="O23" s="1143"/>
      <c r="P23" s="1143"/>
      <c r="Q23" s="1143"/>
      <c r="R23" s="1143"/>
      <c r="S23" s="1143"/>
      <c r="T23" s="1143"/>
      <c r="U23" s="1143"/>
      <c r="W23" s="3764" t="s">
        <v>663</v>
      </c>
      <c r="AS23" s="3432">
        <v>19</v>
      </c>
    </row>
    <row customHeight="1" ht="19.95">
      <c r="B24" s="3990" t="s">
        <v>678</v>
      </c>
      <c r="C24" s="3990" t="s">
        <v>679</v>
      </c>
      <c r="D24" s="3991" t="s">
        <v>641</v>
      </c>
      <c r="E24" s="1148" t="s">
        <v>652</v>
      </c>
      <c r="F24" s="1148" t="s">
        <v>652</v>
      </c>
      <c r="I24" s="1108" t="s">
        <v>680</v>
      </c>
      <c r="J24" s="3912" t="s">
        <v>681</v>
      </c>
      <c r="K24" s="3477" t="s">
        <v>599</v>
      </c>
      <c r="L24" s="1143"/>
      <c r="M24" s="1057"/>
      <c r="N24" s="1143"/>
      <c r="O24" s="1143"/>
      <c r="P24" s="1143"/>
      <c r="Q24" s="1143"/>
      <c r="R24" s="1143"/>
      <c r="S24" s="1143"/>
      <c r="T24" s="1143"/>
      <c r="U24" s="1143"/>
      <c r="W24" s="3764"/>
      <c r="AS24" s="3432">
        <v>19</v>
      </c>
    </row>
    <row customHeight="1" ht="24">
      <c r="B25" s="3990" t="s">
        <v>682</v>
      </c>
      <c r="C25" s="3990" t="s">
        <v>683</v>
      </c>
      <c r="D25" s="3991" t="s">
        <v>641</v>
      </c>
      <c r="E25" s="1148" t="s">
        <v>652</v>
      </c>
      <c r="F25" s="1148" t="s">
        <v>652</v>
      </c>
      <c r="I25" s="1108" t="s">
        <v>684</v>
      </c>
      <c r="J25" s="3912" t="s">
        <v>685</v>
      </c>
      <c r="K25" s="3477" t="s">
        <v>599</v>
      </c>
      <c r="L25" s="1143"/>
      <c r="M25" s="1057"/>
      <c r="N25" s="1143"/>
      <c r="O25" s="1143"/>
      <c r="P25" s="1143"/>
      <c r="Q25" s="1143"/>
      <c r="R25" s="1143"/>
      <c r="S25" s="1143"/>
      <c r="T25" s="1143"/>
      <c r="U25" s="1143"/>
      <c r="W25" s="3764"/>
      <c r="AS25" s="3432">
        <v>23</v>
      </c>
    </row>
    <row customHeight="1" ht="24">
      <c r="B26" s="3990" t="s">
        <v>686</v>
      </c>
      <c r="C26" s="3990" t="s">
        <v>687</v>
      </c>
      <c r="D26" s="3991" t="s">
        <v>641</v>
      </c>
      <c r="E26" s="1148" t="s">
        <v>652</v>
      </c>
      <c r="F26" s="1148" t="s">
        <v>652</v>
      </c>
      <c r="I26" s="1108">
        <v>7</v>
      </c>
      <c r="J26" s="3563" t="s">
        <v>687</v>
      </c>
      <c r="K26" s="3477" t="s">
        <v>688</v>
      </c>
      <c r="L26" s="1143"/>
      <c r="M26" s="1057"/>
      <c r="N26" s="1143"/>
      <c r="O26" s="1143"/>
      <c r="P26" s="1143"/>
      <c r="Q26" s="1143"/>
      <c r="R26" s="1143"/>
      <c r="S26" s="1143"/>
      <c r="T26" s="1143"/>
      <c r="U26" s="1143"/>
      <c r="W26" s="3764"/>
      <c r="AS26" s="3432">
        <v>23</v>
      </c>
    </row>
    <row customHeight="1" ht="24">
      <c r="B27" s="3990" t="s">
        <v>689</v>
      </c>
      <c r="C27" s="3990" t="s">
        <v>690</v>
      </c>
      <c r="D27" s="3991" t="s">
        <v>641</v>
      </c>
      <c r="E27" s="1148" t="s">
        <v>652</v>
      </c>
      <c r="F27" s="1148" t="s">
        <v>652</v>
      </c>
      <c r="I27" s="1108">
        <v>8</v>
      </c>
      <c r="J27" s="3563" t="s">
        <v>690</v>
      </c>
      <c r="K27" s="3477" t="s">
        <v>605</v>
      </c>
      <c r="L27" s="1143"/>
      <c r="M27" s="1057"/>
      <c r="N27" s="1143"/>
      <c r="O27" s="1143"/>
      <c r="P27" s="1143"/>
      <c r="Q27" s="1143"/>
      <c r="R27" s="1143"/>
      <c r="S27" s="1143"/>
      <c r="T27" s="1143"/>
      <c r="U27" s="1143"/>
      <c r="W27" s="3764"/>
      <c r="AS27" s="3432">
        <v>23</v>
      </c>
    </row>
    <row customHeight="1" ht="35.699999999999996">
      <c r="B28" s="3990" t="s">
        <v>691</v>
      </c>
      <c r="C28" s="3990" t="s">
        <v>692</v>
      </c>
      <c r="D28" s="3991" t="s">
        <v>641</v>
      </c>
      <c r="E28" s="1148" t="s">
        <v>652</v>
      </c>
      <c r="F28" s="1148" t="s">
        <v>652</v>
      </c>
      <c r="I28" s="1109">
        <v>9</v>
      </c>
      <c r="J28" s="3563" t="s">
        <v>693</v>
      </c>
      <c r="K28" s="3477" t="s">
        <v>575</v>
      </c>
      <c r="L28" s="1143"/>
      <c r="M28" s="1057"/>
      <c r="N28" s="1143"/>
      <c r="O28" s="1143"/>
      <c r="P28" s="1143"/>
      <c r="Q28" s="1143"/>
      <c r="R28" s="1143"/>
      <c r="S28" s="1143"/>
      <c r="T28" s="1143"/>
      <c r="U28" s="1143"/>
      <c r="W28" s="3764"/>
      <c r="AS28" s="3432">
        <v>34</v>
      </c>
    </row>
    <row customHeight="1" ht="35.699999999999996">
      <c r="B29" s="3990" t="s">
        <v>694</v>
      </c>
      <c r="C29" s="3990" t="s">
        <v>695</v>
      </c>
      <c r="D29" s="3991" t="s">
        <v>641</v>
      </c>
      <c r="E29" s="1148" t="s">
        <v>652</v>
      </c>
      <c r="F29" s="1148" t="s">
        <v>652</v>
      </c>
      <c r="I29" s="1109">
        <v>10</v>
      </c>
      <c r="J29" s="3563" t="s">
        <v>696</v>
      </c>
      <c r="K29" s="3477" t="s">
        <v>575</v>
      </c>
      <c r="L29" s="1143"/>
      <c r="M29" s="1057"/>
      <c r="N29" s="1143"/>
      <c r="O29" s="1143"/>
      <c r="P29" s="1143"/>
      <c r="Q29" s="1143"/>
      <c r="R29" s="1143"/>
      <c r="S29" s="1143"/>
      <c r="T29" s="1143"/>
      <c r="U29" s="1143"/>
      <c r="W29" s="3764"/>
      <c r="AS29" s="3432">
        <v>34</v>
      </c>
    </row>
    <row customHeight="1" ht="24">
      <c r="B30" s="3990" t="s">
        <v>697</v>
      </c>
      <c r="C30" s="3990" t="s">
        <v>698</v>
      </c>
      <c r="D30" s="3991" t="s">
        <v>641</v>
      </c>
      <c r="E30" s="1148" t="s">
        <v>652</v>
      </c>
      <c r="F30" s="1148" t="s">
        <v>652</v>
      </c>
      <c r="I30" s="1109">
        <v>11</v>
      </c>
      <c r="J30" s="3563" t="s">
        <v>698</v>
      </c>
      <c r="K30" s="3477" t="s">
        <v>606</v>
      </c>
      <c r="L30" s="1154"/>
      <c r="M30" s="414"/>
      <c r="N30" s="1154"/>
      <c r="O30" s="1154"/>
      <c r="P30" s="1154"/>
      <c r="Q30" s="1154"/>
      <c r="R30" s="1154"/>
      <c r="S30" s="1154"/>
      <c r="T30" s="1154"/>
      <c r="U30" s="1154"/>
      <c r="W30" s="3764"/>
      <c r="AS30" s="3432">
        <v>23</v>
      </c>
    </row>
    <row customHeight="1" ht="24">
      <c r="B31" s="3990" t="s">
        <v>699</v>
      </c>
      <c r="C31" s="3990" t="s">
        <v>700</v>
      </c>
      <c r="D31" s="3991" t="s">
        <v>641</v>
      </c>
      <c r="E31" s="1148" t="s">
        <v>652</v>
      </c>
      <c r="F31" s="1148" t="s">
        <v>652</v>
      </c>
      <c r="I31" s="1109">
        <v>12</v>
      </c>
      <c r="J31" s="3563" t="s">
        <v>700</v>
      </c>
      <c r="K31" s="3477" t="s">
        <v>606</v>
      </c>
      <c r="L31" s="1154"/>
      <c r="M31" s="414"/>
      <c r="N31" s="1154"/>
      <c r="O31" s="1154"/>
      <c r="P31" s="1154"/>
      <c r="Q31" s="1154"/>
      <c r="R31" s="1154"/>
      <c r="S31" s="1154"/>
      <c r="T31" s="1154"/>
      <c r="U31" s="1154"/>
      <c r="W31" s="3764"/>
      <c r="AS31" s="3432">
        <v>23</v>
      </c>
    </row>
    <row customHeight="1" ht="48.29999999999999">
      <c r="B32" s="3990" t="s">
        <v>701</v>
      </c>
      <c r="C32" s="3990" t="s">
        <v>702</v>
      </c>
      <c r="D32" s="3991" t="s">
        <v>641</v>
      </c>
      <c r="E32" s="1148" t="s">
        <v>652</v>
      </c>
      <c r="F32" s="1148" t="s">
        <v>652</v>
      </c>
      <c r="I32" s="1109">
        <v>13</v>
      </c>
      <c r="J32" s="3563" t="s">
        <v>703</v>
      </c>
      <c r="K32" s="3477" t="s">
        <v>616</v>
      </c>
      <c r="L32" s="1143"/>
      <c r="M32" s="1057"/>
      <c r="N32" s="1143"/>
      <c r="O32" s="1143"/>
      <c r="P32" s="1143"/>
      <c r="Q32" s="1143"/>
      <c r="R32" s="1143"/>
      <c r="S32" s="1143"/>
      <c r="T32" s="1143"/>
      <c r="U32" s="1143"/>
      <c r="W32" s="3764" t="s">
        <v>663</v>
      </c>
      <c r="AS32" s="3432">
        <v>46</v>
      </c>
    </row>
    <row customHeight="1" ht="48.29999999999999">
      <c r="B33" s="3990" t="s">
        <v>704</v>
      </c>
      <c r="C33" s="3990" t="s">
        <v>705</v>
      </c>
      <c r="D33" s="3991" t="s">
        <v>641</v>
      </c>
      <c r="E33" s="1148" t="s">
        <v>652</v>
      </c>
      <c r="F33" s="1148" t="s">
        <v>652</v>
      </c>
      <c r="I33" s="1109">
        <v>14</v>
      </c>
      <c r="J33" s="3567" t="s">
        <v>706</v>
      </c>
      <c r="K33" s="3555" t="s">
        <v>707</v>
      </c>
      <c r="L33" s="1143"/>
      <c r="M33" s="1057"/>
      <c r="N33" s="1143"/>
      <c r="O33" s="1143"/>
      <c r="P33" s="1143"/>
      <c r="Q33" s="1143"/>
      <c r="R33" s="1143"/>
      <c r="S33" s="1143"/>
      <c r="T33" s="1143"/>
      <c r="U33" s="1143"/>
      <c r="W33" s="3764" t="s">
        <v>663</v>
      </c>
      <c r="AS33" s="3449">
        <v>46</v>
      </c>
    </row>
    <row customHeight="1" ht="108">
      <c r="B34" s="3990" t="s">
        <v>708</v>
      </c>
      <c r="C34" s="3990" t="s">
        <v>709</v>
      </c>
      <c r="D34" s="3991" t="s">
        <v>651</v>
      </c>
      <c r="E34" s="1148" t="s">
        <v>652</v>
      </c>
      <c r="F34" s="1148" t="s">
        <v>652</v>
      </c>
      <c r="G34" s="3473" t="s">
        <v>604</v>
      </c>
      <c r="I34" s="204">
        <v>15</v>
      </c>
      <c r="J34" s="3563" t="s">
        <v>710</v>
      </c>
      <c r="K34" s="3477" t="s">
        <v>321</v>
      </c>
      <c r="L34" s="775"/>
      <c r="M34" s="431"/>
      <c r="N34" s="775"/>
      <c r="O34" s="775"/>
      <c r="P34" s="775"/>
      <c r="Q34" s="775"/>
      <c r="R34" s="775"/>
      <c r="S34" s="775"/>
      <c r="T34" s="775"/>
      <c r="U34" s="775"/>
      <c r="W34" s="3764" t="s">
        <v>655</v>
      </c>
      <c r="AS34" s="3432">
        <v>103</v>
      </c>
    </row>
    <row customHeight="1" ht="11.549999999999999">
      <c r="AS35" s="3637">
        <v>11</v>
      </c>
    </row>
    <row customHeight="1" ht="11.549999999999999">
      <c r="AS36" s="3637">
        <v>11</v>
      </c>
    </row>
    <row customHeight="1" ht="11.549999999999999">
      <c r="AS37" s="3637">
        <v>11</v>
      </c>
    </row>
    <row customHeight="1" ht="11.549999999999999">
      <c r="AS38" s="3637">
        <v>11</v>
      </c>
    </row>
    <row customHeight="1" ht="11.549999999999999">
      <c r="AS39" s="3637">
        <v>11</v>
      </c>
    </row>
    <row customHeight="1" ht="11.549999999999999">
      <c r="AS40" s="3637">
        <v>11</v>
      </c>
    </row>
    <row customHeight="1" ht="11.549999999999999">
      <c r="AS41" s="3637">
        <v>11</v>
      </c>
    </row>
    <row customHeight="1" ht="11.549999999999999">
      <c r="AS42" s="3637">
        <v>11</v>
      </c>
    </row>
    <row customHeight="1" ht="11.549999999999999">
      <c r="AS43" s="3637">
        <v>11</v>
      </c>
    </row>
    <row customHeight="1" ht="11.549999999999999">
      <c r="AS44" s="3637">
        <v>11</v>
      </c>
    </row>
    <row customHeight="1" ht="11.549999999999999">
      <c r="AS45" s="3637">
        <v>11</v>
      </c>
    </row>
    <row customHeight="1" ht="11.549999999999999">
      <c r="AS46" s="3637">
        <v>11</v>
      </c>
    </row>
    <row customHeight="1" ht="11.549999999999999">
      <c r="AS47" s="3637">
        <v>11</v>
      </c>
    </row>
    <row customHeight="1" ht="11.549999999999999">
      <c r="AS48" s="3637">
        <v>11</v>
      </c>
    </row>
    <row customHeight="1" ht="11.549999999999999">
      <c r="AS49" s="3637">
        <v>11</v>
      </c>
    </row>
    <row customHeight="1" ht="11.549999999999999">
      <c r="AS50" s="3637">
        <v>11</v>
      </c>
    </row>
    <row customHeight="1" ht="11.549999999999999">
      <c r="AS51" s="3637">
        <v>11</v>
      </c>
    </row>
    <row customHeight="1" ht="11.549999999999999">
      <c r="AS52" s="3637">
        <v>11</v>
      </c>
    </row>
    <row customHeight="1" ht="11.549999999999999">
      <c r="AS53" s="3637">
        <v>11</v>
      </c>
    </row>
    <row customHeight="1" ht="11.549999999999999">
      <c r="AS54" s="3637">
        <v>11</v>
      </c>
    </row>
    <row customHeight="1" ht="11.549999999999999">
      <c r="AS55" s="3637">
        <v>11</v>
      </c>
    </row>
    <row customHeight="1" ht="11.549999999999999">
      <c r="AS56" s="3637">
        <v>11</v>
      </c>
    </row>
    <row customHeight="1" ht="11.549999999999999">
      <c r="AS57" s="3637">
        <v>11</v>
      </c>
    </row>
    <row customHeight="1" ht="11.549999999999999">
      <c r="AS58" s="3637">
        <v>11</v>
      </c>
    </row>
    <row customHeight="1" ht="11.549999999999999">
      <c r="AS59" s="3637">
        <v>11</v>
      </c>
    </row>
    <row customHeight="1" ht="11.549999999999999">
      <c r="AS60" s="3637">
        <v>11</v>
      </c>
    </row>
    <row customHeight="1" ht="11.549999999999999">
      <c r="AS61" s="3637">
        <v>11</v>
      </c>
    </row>
    <row customHeight="1" ht="11.549999999999999">
      <c r="AS62" s="3637">
        <v>11</v>
      </c>
    </row>
    <row customHeight="1" ht="11.549999999999999">
      <c r="AS63" s="3637">
        <v>11</v>
      </c>
    </row>
    <row customHeight="1" ht="11.549999999999999">
      <c r="AS64" s="3637">
        <v>11</v>
      </c>
    </row>
    <row customHeight="1" ht="11.549999999999999">
      <c r="AS65" s="3637">
        <v>11</v>
      </c>
    </row>
    <row customHeight="1" ht="11.549999999999999">
      <c r="AS66" s="3637">
        <v>11</v>
      </c>
    </row>
    <row customHeight="1" ht="11.549999999999999">
      <c r="AS67" s="3637">
        <v>11</v>
      </c>
    </row>
    <row customHeight="1" ht="11.549999999999999">
      <c r="AS68" s="3637">
        <v>11</v>
      </c>
    </row>
    <row customHeight="1" ht="11.549999999999999">
      <c r="AS69" s="3637">
        <v>11</v>
      </c>
    </row>
    <row customHeight="1" ht="11.549999999999999">
      <c r="AS70" s="3637">
        <v>11</v>
      </c>
    </row>
    <row customHeight="1" ht="11.549999999999999">
      <c r="AS71" s="3637">
        <v>11</v>
      </c>
    </row>
    <row customHeight="1" ht="11.549999999999999">
      <c r="AS72" s="3637">
        <v>11</v>
      </c>
    </row>
    <row customHeight="1" ht="11.549999999999999">
      <c r="AS73" s="3637">
        <v>11</v>
      </c>
    </row>
    <row customHeight="1" ht="11.549999999999999">
      <c r="AS74" s="3637">
        <v>11</v>
      </c>
    </row>
    <row customHeight="1" ht="11.549999999999999">
      <c r="AS75" s="3637">
        <v>11</v>
      </c>
    </row>
    <row customHeight="1" ht="11.549999999999999">
      <c r="AS76" s="3637">
        <v>11</v>
      </c>
    </row>
    <row customHeight="1" ht="11.549999999999999">
      <c r="AS77" s="3637">
        <v>11</v>
      </c>
    </row>
    <row customHeight="1" ht="11.549999999999999">
      <c r="AS78" s="3637">
        <v>11</v>
      </c>
    </row>
    <row customHeight="1" ht="11.549999999999999">
      <c r="AS79" s="3637">
        <v>11</v>
      </c>
    </row>
    <row customHeight="1" ht="11.549999999999999">
      <c r="AS80" s="3637">
        <v>11</v>
      </c>
    </row>
    <row customHeight="1" ht="11.549999999999999">
      <c r="AS81" s="3637">
        <v>11</v>
      </c>
    </row>
    <row customHeight="1" ht="11.549999999999999">
      <c r="AS82" s="3637">
        <v>11</v>
      </c>
    </row>
    <row customHeight="1" ht="11.549999999999999">
      <c r="AS83" s="3637">
        <v>11</v>
      </c>
    </row>
    <row customHeight="1" ht="11.549999999999999">
      <c r="AS84" s="3637">
        <v>11</v>
      </c>
    </row>
    <row customHeight="1" ht="11.549999999999999">
      <c r="AS85" s="3637">
        <v>11</v>
      </c>
    </row>
    <row customHeight="1" ht="11.549999999999999">
      <c r="AS86" s="3637">
        <v>11</v>
      </c>
    </row>
    <row customHeight="1" ht="11.549999999999999">
      <c r="AS87" s="3637">
        <v>11</v>
      </c>
    </row>
    <row customHeight="1" ht="11.549999999999999">
      <c r="AS88" s="3637">
        <v>11</v>
      </c>
    </row>
    <row customHeight="1" ht="11.549999999999999">
      <c r="AS89" s="3637">
        <v>11</v>
      </c>
    </row>
    <row customHeight="1" ht="11.549999999999999">
      <c r="AS90" s="3637">
        <v>11</v>
      </c>
    </row>
    <row customHeight="1" ht="11.549999999999999">
      <c r="AS91" s="3637">
        <v>11</v>
      </c>
    </row>
    <row customHeight="1" ht="11.549999999999999">
      <c r="AS92" s="3637">
        <v>11</v>
      </c>
    </row>
    <row customHeight="1" ht="11.549999999999999">
      <c r="AS93" s="3637">
        <v>11</v>
      </c>
    </row>
    <row customHeight="1" ht="11.549999999999999">
      <c r="AS94" s="3637">
        <v>11</v>
      </c>
    </row>
    <row customHeight="1" ht="11.549999999999999">
      <c r="AS95" s="3637">
        <v>11</v>
      </c>
    </row>
    <row customHeight="1" ht="11.549999999999999">
      <c r="AS96" s="3637">
        <v>11</v>
      </c>
    </row>
    <row customHeight="1" ht="11.549999999999999">
      <c r="AS97" s="3637">
        <v>11</v>
      </c>
    </row>
    <row customHeight="1" ht="11.549999999999999">
      <c r="AS98" s="3637">
        <v>11</v>
      </c>
    </row>
    <row customHeight="1" ht="11.549999999999999">
      <c r="AS99" s="3637">
        <v>11</v>
      </c>
    </row>
    <row customHeight="1" ht="11.549999999999999">
      <c r="AS100" s="3637">
        <v>11</v>
      </c>
    </row>
    <row customHeight="1" ht="11.549999999999999">
      <c r="AS101" s="3637">
        <v>11</v>
      </c>
    </row>
    <row customHeight="1" ht="11.549999999999999">
      <c r="AS102" s="3637">
        <v>11</v>
      </c>
    </row>
    <row customHeight="1" ht="11.549999999999999">
      <c r="AS103" s="3637">
        <v>11</v>
      </c>
    </row>
    <row customHeight="1" ht="11.549999999999999">
      <c r="AS104" s="3637">
        <v>11</v>
      </c>
    </row>
    <row customHeight="1" ht="11.549999999999999">
      <c r="AS105" s="3637">
        <v>11</v>
      </c>
    </row>
    <row customHeight="1" ht="11.549999999999999">
      <c r="AS106" s="3637">
        <v>11</v>
      </c>
    </row>
    <row customHeight="1" ht="11.549999999999999">
      <c r="AS107" s="3637">
        <v>11</v>
      </c>
    </row>
    <row customHeight="1" ht="11.549999999999999">
      <c r="AS108" s="3637">
        <v>11</v>
      </c>
    </row>
    <row customHeight="1" ht="11.549999999999999">
      <c r="AS109" s="3637">
        <v>11</v>
      </c>
    </row>
    <row customHeight="1" ht="11.549999999999999">
      <c r="AS110" s="3637">
        <v>11</v>
      </c>
    </row>
    <row customHeight="1" ht="11.549999999999999">
      <c r="AS111" s="3637">
        <v>11</v>
      </c>
    </row>
    <row customHeight="1" ht="11.549999999999999">
      <c r="AS112" s="3637">
        <v>11</v>
      </c>
    </row>
    <row customHeight="1" ht="11.549999999999999">
      <c r="AS113" s="3637">
        <v>11</v>
      </c>
    </row>
    <row customHeight="1" ht="11.549999999999999">
      <c r="AS114" s="3637">
        <v>11</v>
      </c>
    </row>
    <row customHeight="1" ht="11.549999999999999">
      <c r="AS115" s="3637">
        <v>11</v>
      </c>
    </row>
    <row customHeight="1" ht="11.549999999999999">
      <c r="AS116" s="3637">
        <v>11</v>
      </c>
    </row>
    <row customHeight="1" ht="11.549999999999999">
      <c r="AS117" s="3637">
        <v>11</v>
      </c>
    </row>
    <row customHeight="1" ht="11.549999999999999">
      <c r="AS118" s="3637">
        <v>11</v>
      </c>
    </row>
    <row customHeight="1" ht="11.549999999999999">
      <c r="AS119" s="3637">
        <v>11</v>
      </c>
    </row>
    <row customHeight="1" ht="11.549999999999999">
      <c r="AS120" s="3637">
        <v>11</v>
      </c>
    </row>
    <row customHeight="1" ht="11.549999999999999">
      <c r="AS121" s="3637">
        <v>11</v>
      </c>
    </row>
    <row customHeight="1" ht="11.549999999999999">
      <c r="AS122" s="3637">
        <v>11</v>
      </c>
    </row>
    <row customHeight="1" ht="11.549999999999999">
      <c r="AS123" s="3637">
        <v>11</v>
      </c>
    </row>
    <row customHeight="1" ht="11.549999999999999">
      <c r="AS124" s="3637">
        <v>11</v>
      </c>
    </row>
    <row customHeight="1" ht="11.549999999999999">
      <c r="AS125" s="3637">
        <v>11</v>
      </c>
    </row>
    <row customHeight="1" ht="11.549999999999999">
      <c r="AS126" s="3637">
        <v>11</v>
      </c>
    </row>
    <row customHeight="1" ht="11.549999999999999">
      <c r="AS127" s="3637">
        <v>11</v>
      </c>
    </row>
    <row customHeight="1" ht="11.549999999999999">
      <c r="AS128" s="3637">
        <v>11</v>
      </c>
    </row>
    <row customHeight="1" ht="11.549999999999999">
      <c r="AS129" s="3637">
        <v>11</v>
      </c>
    </row>
    <row customHeight="1" ht="11.549999999999999">
      <c r="AS130" s="3637">
        <v>11</v>
      </c>
    </row>
    <row customHeight="1" ht="11.549999999999999">
      <c r="AS131" s="3637">
        <v>11</v>
      </c>
    </row>
    <row customHeight="1" ht="11.549999999999999">
      <c r="AS132" s="3637">
        <v>11</v>
      </c>
    </row>
    <row customHeight="1" ht="11.549999999999999">
      <c r="AS133" s="3637">
        <v>11</v>
      </c>
    </row>
    <row customHeight="1" ht="11.549999999999999">
      <c r="AS134" s="3637">
        <v>11</v>
      </c>
    </row>
    <row customHeight="1" ht="11.549999999999999">
      <c r="AS135" s="3637">
        <v>11</v>
      </c>
    </row>
    <row customHeight="1" ht="11.549999999999999">
      <c r="AS136" s="3637">
        <v>11</v>
      </c>
    </row>
    <row customHeight="1" ht="11.549999999999999">
      <c r="AS137" s="3637">
        <v>11</v>
      </c>
    </row>
    <row customHeight="1" ht="11.549999999999999">
      <c r="AS138" s="3637">
        <v>11</v>
      </c>
    </row>
    <row customHeight="1" ht="11.549999999999999">
      <c r="AS139" s="3637">
        <v>11</v>
      </c>
    </row>
    <row customHeight="1" ht="11.549999999999999">
      <c r="AS140" s="3637">
        <v>11</v>
      </c>
    </row>
    <row customHeight="1" ht="11.549999999999999">
      <c r="AS141" s="3637">
        <v>11</v>
      </c>
    </row>
    <row customHeight="1" ht="11.549999999999999">
      <c r="AS142" s="3637">
        <v>11</v>
      </c>
    </row>
    <row customHeight="1" ht="11.549999999999999">
      <c r="AS143" s="3637">
        <v>11</v>
      </c>
    </row>
    <row customHeight="1" ht="11.549999999999999">
      <c r="AS144" s="3637">
        <v>11</v>
      </c>
    </row>
    <row customHeight="1" ht="11.549999999999999">
      <c r="AS145" s="3637">
        <v>11</v>
      </c>
    </row>
    <row customHeight="1" ht="11.549999999999999">
      <c r="AS146" s="3637">
        <v>11</v>
      </c>
    </row>
    <row customHeight="1" ht="11.549999999999999">
      <c r="AS147" s="3637">
        <v>11</v>
      </c>
    </row>
    <row customHeight="1" ht="11.549999999999999">
      <c r="AS148" s="3637">
        <v>11</v>
      </c>
    </row>
    <row customHeight="1" ht="11.549999999999999">
      <c r="AS149" s="3637">
        <v>11</v>
      </c>
    </row>
    <row customHeight="1" ht="11.549999999999999">
      <c r="AS150" s="3637">
        <v>11</v>
      </c>
    </row>
    <row customHeight="1" ht="11.549999999999999">
      <c r="AS151" s="3637">
        <v>11</v>
      </c>
    </row>
    <row customHeight="1" ht="11.549999999999999">
      <c r="AS152" s="3637">
        <v>11</v>
      </c>
    </row>
    <row customHeight="1" ht="11.549999999999999">
      <c r="AS153" s="3637">
        <v>11</v>
      </c>
    </row>
    <row customHeight="1" ht="11.549999999999999">
      <c r="AS154" s="3637">
        <v>11</v>
      </c>
    </row>
    <row customHeight="1" ht="11.549999999999999">
      <c r="AS155" s="3637">
        <v>11</v>
      </c>
    </row>
    <row customHeight="1" ht="11.549999999999999">
      <c r="AS156" s="3637">
        <v>11</v>
      </c>
    </row>
    <row customHeight="1" ht="11.549999999999999">
      <c r="AS157" s="3637">
        <v>11</v>
      </c>
    </row>
    <row customHeight="1" ht="11.549999999999999">
      <c r="AS158" s="3637">
        <v>11</v>
      </c>
    </row>
    <row customHeight="1" ht="11.549999999999999">
      <c r="AS159" s="3637">
        <v>11</v>
      </c>
    </row>
    <row customHeight="1" ht="11.549999999999999">
      <c r="AS160" s="3637">
        <v>11</v>
      </c>
    </row>
    <row customHeight="1" ht="11.549999999999999">
      <c r="AS161" s="3637">
        <v>11</v>
      </c>
    </row>
    <row customHeight="1" ht="11.549999999999999">
      <c r="AS162" s="3637">
        <v>11</v>
      </c>
    </row>
    <row customHeight="1" ht="11.549999999999999">
      <c r="AS163" s="3637">
        <v>11</v>
      </c>
    </row>
    <row customHeight="1" ht="11.549999999999999">
      <c r="AS164" s="3637">
        <v>11</v>
      </c>
    </row>
    <row customHeight="1" ht="11.549999999999999">
      <c r="AS165" s="3637">
        <v>11</v>
      </c>
    </row>
    <row customHeight="1" ht="11.549999999999999">
      <c r="AS166" s="3637">
        <v>11</v>
      </c>
    </row>
    <row customHeight="1" ht="11.549999999999999">
      <c r="AS167" s="3637">
        <v>11</v>
      </c>
    </row>
    <row customHeight="1" ht="11.549999999999999">
      <c r="AS168" s="3637">
        <v>11</v>
      </c>
    </row>
    <row customHeight="1" ht="11.549999999999999">
      <c r="AS169" s="3637">
        <v>11</v>
      </c>
    </row>
    <row customHeight="1" ht="11.549999999999999">
      <c r="AS170" s="3637">
        <v>11</v>
      </c>
    </row>
    <row customHeight="1" ht="11.549999999999999">
      <c r="AS171" s="3637">
        <v>11</v>
      </c>
    </row>
    <row customHeight="1" ht="11.549999999999999">
      <c r="AS172" s="3637">
        <v>11</v>
      </c>
    </row>
    <row customHeight="1" ht="11.549999999999999">
      <c r="AS173" s="3637">
        <v>11</v>
      </c>
    </row>
    <row customHeight="1" ht="11.549999999999999">
      <c r="AS174" s="3637">
        <v>11</v>
      </c>
    </row>
    <row customHeight="1" ht="11.549999999999999">
      <c r="AS175" s="3637">
        <v>11</v>
      </c>
    </row>
    <row customHeight="1" ht="11.549999999999999">
      <c r="AS176" s="3637">
        <v>11</v>
      </c>
    </row>
    <row customHeight="1" ht="11.549999999999999">
      <c r="AS177" s="3637">
        <v>11</v>
      </c>
    </row>
    <row customHeight="1" ht="11.549999999999999">
      <c r="AS178" s="3637">
        <v>11</v>
      </c>
    </row>
    <row customHeight="1" ht="11.549999999999999">
      <c r="AS179" s="3637">
        <v>11</v>
      </c>
    </row>
    <row customHeight="1" ht="11.549999999999999">
      <c r="AS180" s="3637">
        <v>11</v>
      </c>
    </row>
    <row customHeight="1" ht="11.549999999999999">
      <c r="AS181" s="3637">
        <v>11</v>
      </c>
    </row>
    <row customHeight="1" ht="11.549999999999999">
      <c r="AS182" s="3637">
        <v>11</v>
      </c>
    </row>
    <row customHeight="1" ht="11.549999999999999">
      <c r="AS183" s="3637">
        <v>11</v>
      </c>
    </row>
    <row customHeight="1" ht="11.549999999999999">
      <c r="AS184" s="3637">
        <v>11</v>
      </c>
    </row>
    <row customHeight="1" ht="11.549999999999999">
      <c r="AS185" s="3637">
        <v>11</v>
      </c>
    </row>
    <row customHeight="1" ht="11.549999999999999">
      <c r="AS186" s="3637">
        <v>11</v>
      </c>
    </row>
    <row customHeight="1" ht="11.549999999999999">
      <c r="AS187" s="3637">
        <v>11</v>
      </c>
    </row>
    <row customHeight="1" ht="11.549999999999999">
      <c r="AS188" s="3637">
        <v>11</v>
      </c>
    </row>
    <row customHeight="1" ht="11.549999999999999">
      <c r="AS189" s="3637">
        <v>11</v>
      </c>
    </row>
    <row customHeight="1" ht="11.549999999999999">
      <c r="AS190" s="3432">
        <v>11</v>
      </c>
    </row>
    <row customHeight="1" ht="11.549999999999999">
      <c r="AS191" s="3432">
        <v>11</v>
      </c>
    </row>
    <row customHeight="1" ht="11.549999999999999">
      <c r="AS192" s="3432">
        <v>11</v>
      </c>
    </row>
    <row customHeight="1" ht="11.549999999999999">
      <c r="AS193" s="3432">
        <v>11</v>
      </c>
    </row>
    <row customHeight="1" ht="11.549999999999999">
      <c r="AS194" s="3432">
        <v>11</v>
      </c>
    </row>
    <row customHeight="1" ht="11.549999999999999">
      <c r="AS195" s="3432">
        <v>11</v>
      </c>
    </row>
    <row customHeight="1" ht="11.549999999999999">
      <c r="AS196" s="3432">
        <v>11</v>
      </c>
    </row>
    <row customHeight="1" ht="11.549999999999999">
      <c r="AS197" s="3432">
        <v>11</v>
      </c>
    </row>
    <row customHeight="1" ht="11.549999999999999">
      <c r="AS198" s="3432">
        <v>11</v>
      </c>
    </row>
    <row customHeight="1" ht="11.549999999999999">
      <c r="AS199" s="3432">
        <v>11</v>
      </c>
    </row>
    <row customHeight="1" ht="11.549999999999999">
      <c r="AS200" s="3432">
        <v>11</v>
      </c>
    </row>
    <row customHeight="1" ht="11.549999999999999">
      <c r="AS201" s="3432">
        <v>11</v>
      </c>
    </row>
    <row customHeight="1" ht="11.549999999999999">
      <c r="AS202" s="3432">
        <v>11</v>
      </c>
    </row>
    <row customHeight="1" ht="11.549999999999999">
      <c r="AS203" s="3432">
        <v>11</v>
      </c>
    </row>
    <row customHeight="1" ht="12.75" hidden="1">
      <c r="A204" s="1093" t="s">
        <v>80</v>
      </c>
      <c r="B204" s="1093" t="s">
        <v>166</v>
      </c>
      <c r="C204" s="1093" t="s">
        <v>166</v>
      </c>
      <c r="D204" s="1093" t="s">
        <v>166</v>
      </c>
      <c r="E204" s="1093" t="s">
        <v>166</v>
      </c>
      <c r="F204" s="3432">
        <v>16</v>
      </c>
      <c r="G204" s="3473">
        <v>0</v>
      </c>
      <c r="H204" s="3432">
        <v>3</v>
      </c>
      <c r="I204" s="3432">
        <v>7</v>
      </c>
      <c r="J204" s="3432">
        <v>56</v>
      </c>
      <c r="K204" s="3432">
        <v>10</v>
      </c>
      <c r="L204" s="3432">
        <v>40</v>
      </c>
      <c r="M204" s="3432">
        <v>40</v>
      </c>
      <c r="N204" s="3432">
        <v>40</v>
      </c>
      <c r="O204" s="3432">
        <v>40</v>
      </c>
      <c r="P204" s="3432">
        <v>40</v>
      </c>
      <c r="Q204" s="3432">
        <v>40</v>
      </c>
      <c r="R204" s="3432">
        <v>40</v>
      </c>
      <c r="S204" s="3432">
        <v>40</v>
      </c>
      <c r="T204" s="3432">
        <v>40</v>
      </c>
      <c r="U204" s="3432">
        <v>40</v>
      </c>
      <c r="V204" s="3449">
        <v>9</v>
      </c>
      <c r="W204" s="3432">
        <v>102</v>
      </c>
      <c r="X204" s="3449">
        <v>9</v>
      </c>
      <c r="Y204" s="3473">
        <v>5</v>
      </c>
      <c r="Z204" s="3473">
        <v>3</v>
      </c>
      <c r="AA204" s="3449">
        <v>3</v>
      </c>
      <c r="AB204" s="3449">
        <v>3</v>
      </c>
      <c r="AC204" s="3449">
        <v>3</v>
      </c>
      <c r="AD204" s="3449">
        <v>3</v>
      </c>
      <c r="AE204" s="3473">
        <v>10</v>
      </c>
      <c r="AF204" s="3449">
        <v>34</v>
      </c>
      <c r="AG204" s="3449">
        <v>9</v>
      </c>
      <c r="AH204" s="3972">
        <v>8</v>
      </c>
      <c r="AI204" s="3449">
        <v>8</v>
      </c>
      <c r="AJ204" s="3449">
        <v>8</v>
      </c>
      <c r="AK204" s="3449">
        <v>8</v>
      </c>
      <c r="AL204" s="3449">
        <v>8</v>
      </c>
      <c r="AM204" s="3449">
        <v>8</v>
      </c>
      <c r="AN204" s="3430">
        <v>8</v>
      </c>
      <c r="AO204" s="3430">
        <v>8</v>
      </c>
      <c r="AP204" s="3430">
        <v>8</v>
      </c>
      <c r="AQ204" s="3430">
        <v>8</v>
      </c>
      <c r="AR204" s="3430">
        <v>8</v>
      </c>
      <c r="AS204" s="3432">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4CD09-B872-CC07-8FAD-B614872F334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7348" width="10.57421875" hidden="1"/>
    <col min="5" max="7" style="7348" width="9.140625" hidden="1" customWidth="1"/>
    <col min="8" max="8" style="7348" width="3.00390625" customWidth="1"/>
    <col min="9" max="9" style="7348" width="6.00390625" customWidth="1"/>
    <col min="10" max="10" style="7348" width="63.00390625" customWidth="1"/>
    <col min="11" max="11" style="7348" width="9.00390625" customWidth="1"/>
    <col min="12" max="12" style="7348" width="39.00390625" customWidth="1"/>
    <col min="13" max="13" style="7348" width="89.00390625" customWidth="1"/>
    <col min="14" max="22" style="7348" width="10.00390625" customWidth="1"/>
    <col min="23" max="23" style="7348" width="10.57421875" hidden="1"/>
  </cols>
  <sheetData>
    <row customHeight="1" ht="22.5" hidden="1">
      <c r="W1" s="3432" t="s">
        <v>14</v>
      </c>
    </row>
    <row customHeight="1" ht="22.5" hidden="1">
      <c r="B2" s="3990" t="s">
        <v>711</v>
      </c>
      <c r="C2" s="3990" t="s">
        <v>712</v>
      </c>
      <c r="D2" s="3991" t="s">
        <v>651</v>
      </c>
      <c r="E2" s="1148">
        <f>I2-3</f>
        <v>-3</v>
      </c>
      <c r="F2" s="1148">
        <f>J2</f>
        <v>0</v>
      </c>
      <c r="H2" s="991" t="s">
        <v>119</v>
      </c>
      <c r="I2" s="313"/>
      <c r="J2" s="350"/>
      <c r="K2" s="3477" t="s">
        <v>321</v>
      </c>
      <c r="L2" s="431"/>
      <c r="M2" s="3816"/>
      <c r="W2" s="3432">
        <v>0</v>
      </c>
    </row>
    <row customHeight="1" ht="14.25" hidden="1">
      <c r="W3" s="3432">
        <v>0</v>
      </c>
    </row>
    <row customHeight="1" ht="6.3">
      <c r="H4" s="3719"/>
      <c r="I4" s="3450"/>
      <c r="J4" s="3450"/>
      <c r="K4" s="3450"/>
      <c r="L4" s="3789"/>
      <c r="M4" s="3789"/>
      <c r="W4" s="3432">
        <v>6</v>
      </c>
    </row>
    <row customHeight="1" ht="50.25">
      <c r="H5" s="3719"/>
      <c r="I5" s="3646" t="s">
        <v>713</v>
      </c>
      <c r="J5" s="3646"/>
      <c r="K5" s="3646"/>
      <c r="L5" s="3646"/>
      <c r="W5" s="3432">
        <v>48</v>
      </c>
    </row>
    <row customHeight="1" ht="18">
      <c r="H6" s="3719"/>
      <c r="I6" s="3554" t="str">
        <f>IF(org=0,"Не определено",org)</f>
        <v>ООО "ТеплоЭлектроГенерирующая Компания"</v>
      </c>
      <c r="J6" s="3554"/>
      <c r="K6" s="3554"/>
      <c r="L6" s="3554"/>
      <c r="W6" s="3432">
        <v>17</v>
      </c>
    </row>
    <row customHeight="1" ht="14.699999999999998">
      <c r="H7" s="3719"/>
      <c r="I7" s="3450"/>
      <c r="J7" s="3445"/>
      <c r="K7" s="3445"/>
      <c r="L7" s="3575"/>
      <c r="M7" s="3790"/>
      <c r="W7" s="3432">
        <v>14</v>
      </c>
    </row>
    <row customHeight="1" ht="14.699999999999998">
      <c r="H8" s="3719"/>
      <c r="I8" s="3717" t="s">
        <v>315</v>
      </c>
      <c r="J8" s="3808"/>
      <c r="K8" s="3808"/>
      <c r="L8" s="3994"/>
      <c r="M8" s="3707" t="s">
        <v>316</v>
      </c>
      <c r="W8" s="3432">
        <v>14</v>
      </c>
    </row>
    <row customHeight="1" ht="35.699999999999996">
      <c r="E9" s="1149" t="s">
        <v>642</v>
      </c>
      <c r="F9" s="1149" t="s">
        <v>648</v>
      </c>
      <c r="H9" s="3719"/>
      <c r="I9" s="3579" t="s">
        <v>86</v>
      </c>
      <c r="J9" s="3525" t="s">
        <v>317</v>
      </c>
      <c r="K9" s="3626" t="s">
        <v>581</v>
      </c>
      <c r="L9" s="3525" t="s">
        <v>318</v>
      </c>
      <c r="M9" s="3707"/>
      <c r="W9" s="3432">
        <v>34</v>
      </c>
    </row>
    <row customHeight="1" ht="35.699999999999996">
      <c r="B10" s="3990" t="s">
        <v>714</v>
      </c>
      <c r="C10" s="3990" t="s">
        <v>715</v>
      </c>
      <c r="D10" s="3991" t="s">
        <v>651</v>
      </c>
      <c r="E10" s="1148" t="s">
        <v>652</v>
      </c>
      <c r="F10" s="1148" t="s">
        <v>652</v>
      </c>
      <c r="H10" s="3719"/>
      <c r="I10" s="313" t="s">
        <v>107</v>
      </c>
      <c r="J10" s="3921" t="s">
        <v>716</v>
      </c>
      <c r="K10" s="3477" t="s">
        <v>321</v>
      </c>
      <c r="L10" s="812"/>
      <c r="M10" s="3816" t="s">
        <v>717</v>
      </c>
      <c r="W10" s="3432">
        <v>34</v>
      </c>
    </row>
    <row customHeight="1" ht="50.25">
      <c r="B11" s="3990" t="s">
        <v>718</v>
      </c>
      <c r="C11" s="3990" t="s">
        <v>719</v>
      </c>
      <c r="D11" s="3991" t="s">
        <v>651</v>
      </c>
      <c r="E11" s="1148" t="s">
        <v>652</v>
      </c>
      <c r="F11" s="1148" t="s">
        <v>652</v>
      </c>
      <c r="H11" s="3719"/>
      <c r="I11" s="313" t="s">
        <v>108</v>
      </c>
      <c r="J11" s="3921" t="s">
        <v>720</v>
      </c>
      <c r="K11" s="3477" t="s">
        <v>321</v>
      </c>
      <c r="L11" s="812"/>
      <c r="M11" s="3816" t="s">
        <v>717</v>
      </c>
      <c r="W11" s="3432">
        <v>48</v>
      </c>
    </row>
    <row customHeight="1" ht="48.29999999999999">
      <c r="B12" s="3990" t="s">
        <v>721</v>
      </c>
      <c r="C12" s="3990" t="s">
        <v>722</v>
      </c>
      <c r="D12" s="3991" t="s">
        <v>651</v>
      </c>
      <c r="E12" s="1148" t="s">
        <v>652</v>
      </c>
      <c r="F12" s="1148" t="s">
        <v>652</v>
      </c>
      <c r="H12" s="3602"/>
      <c r="I12" s="313" t="s">
        <v>88</v>
      </c>
      <c r="J12" s="3765" t="s">
        <v>723</v>
      </c>
      <c r="K12" s="3477" t="s">
        <v>321</v>
      </c>
      <c r="L12" s="812"/>
      <c r="M12" s="3816" t="s">
        <v>724</v>
      </c>
      <c r="W12" s="3432">
        <v>46</v>
      </c>
    </row>
    <row customHeight="1" ht="14.699999999999998">
      <c r="H13" s="3719"/>
      <c r="I13" s="3726"/>
      <c r="J13" s="172" t="s">
        <v>725</v>
      </c>
      <c r="K13" s="226"/>
      <c r="L13" s="773"/>
      <c r="M13" s="3816"/>
      <c r="W13" s="3432">
        <v>14</v>
      </c>
    </row>
    <row customHeight="1" ht="14.699999999999998">
      <c r="H14" s="3719"/>
      <c r="I14" s="3922"/>
      <c r="J14" s="998"/>
      <c r="K14" s="999"/>
      <c r="L14" s="1000"/>
      <c r="W14" s="3432">
        <v>14</v>
      </c>
    </row>
    <row customHeight="1" ht="14.699999999999998">
      <c r="W15" s="3432">
        <v>14</v>
      </c>
    </row>
    <row customHeight="1" ht="21" hidden="1">
      <c r="A16" s="782" t="s">
        <v>80</v>
      </c>
      <c r="B16" s="3432">
        <v>9</v>
      </c>
      <c r="C16" s="3432">
        <v>9</v>
      </c>
      <c r="D16" s="3432">
        <v>9</v>
      </c>
      <c r="E16" s="782" t="s">
        <v>134</v>
      </c>
      <c r="F16" s="782" t="s">
        <v>134</v>
      </c>
      <c r="H16" s="3797">
        <v>3</v>
      </c>
      <c r="I16" s="3432">
        <v>6</v>
      </c>
      <c r="J16" s="3432">
        <v>63</v>
      </c>
      <c r="K16" s="3432">
        <v>9</v>
      </c>
      <c r="L16" s="3432">
        <v>39</v>
      </c>
      <c r="M16" s="3432">
        <v>89</v>
      </c>
      <c r="N16" s="3432">
        <v>10</v>
      </c>
      <c r="O16" s="3479">
        <v>10</v>
      </c>
      <c r="P16" s="3479">
        <v>10</v>
      </c>
      <c r="Q16" s="3432">
        <v>10</v>
      </c>
      <c r="R16" s="3432">
        <v>10</v>
      </c>
      <c r="S16" s="3432">
        <v>10</v>
      </c>
      <c r="T16" s="3432">
        <v>10</v>
      </c>
      <c r="U16" s="3432">
        <v>10</v>
      </c>
      <c r="V16" s="3432">
        <v>10</v>
      </c>
      <c r="W16" s="34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D9143-5853-ECC5-07CB-FEA716CB094F}" mc:Ignorable="x14ac xr xr2 xr3">
  <sheetPr>
    <tabColor theme="9" tint="-0.25"/>
  </sheetPr>
  <dimension ref="A1:AN217"/>
  <sheetViews>
    <sheetView topLeftCell="A1" showGridLines="0" zoomScale="90" workbookViewId="0">
      <selection activeCell="Q9" sqref="Q9"/>
    </sheetView>
  </sheetViews>
  <sheetFormatPr defaultColWidth="9.140625" customHeight="1" defaultRowHeight="11.25"/>
  <cols>
    <col min="1" max="1" style="7348" width="10.7109375" hidden="1" customWidth="1"/>
    <col min="2" max="2" style="7348" width="16.8515625" hidden="1" customWidth="1"/>
    <col min="3" max="3" style="7348" width="5.57421875" hidden="1" customWidth="1"/>
    <col min="4" max="4" style="7348" width="3.00390625" customWidth="1"/>
    <col min="5" max="5" style="7348" width="7.00390625" customWidth="1"/>
    <col min="6" max="6" style="7348" width="56.00390625" customWidth="1"/>
    <col min="7" max="7" style="7348" width="10.00390625" customWidth="1"/>
    <col min="8" max="8" style="7348" width="40.7109375" hidden="1" customWidth="1"/>
    <col min="9" max="9" style="7348" width="40.00390625" customWidth="1"/>
    <col min="10" max="17" style="7348" width="40.7109375" customWidth="1"/>
    <col min="18" max="18" style="7348" width="102.00390625" customWidth="1"/>
    <col min="19" max="19" style="7348" width="9.00390625" customWidth="1"/>
    <col min="20" max="20" style="7348" width="5.00390625" customWidth="1"/>
    <col min="21" max="25" style="7348" width="3.00390625" customWidth="1"/>
    <col min="26" max="26" style="7348" width="10.00390625" customWidth="1"/>
    <col min="27" max="27" style="7348" width="34.00390625" customWidth="1"/>
    <col min="28" max="28" style="7348" width="9.00390625" customWidth="1"/>
    <col min="29" max="39" style="7348" width="8.00390625" customWidth="1"/>
    <col min="40" max="40" style="7348" width="10.421875" hidden="1" customWidth="1"/>
  </cols>
  <sheetData>
    <row customHeight="1" ht="22.5" hidden="1">
      <c r="H1" s="3449">
        <v>4</v>
      </c>
      <c r="I1" s="3449">
        <v>4</v>
      </c>
      <c r="J1" s="3449">
        <v>4</v>
      </c>
      <c r="K1" s="3449">
        <v>4</v>
      </c>
      <c r="L1" s="3449">
        <v>4</v>
      </c>
      <c r="M1" s="3449">
        <v>4</v>
      </c>
      <c r="N1" s="3449">
        <v>4</v>
      </c>
      <c r="O1" s="3449">
        <v>4</v>
      </c>
      <c r="P1" s="3449">
        <v>4</v>
      </c>
      <c r="Q1" s="3449">
        <v>4</v>
      </c>
      <c r="AN1" s="3449" t="s">
        <v>14</v>
      </c>
    </row>
    <row customHeight="1" ht="22.5" hidden="1">
      <c r="E2" s="3480"/>
      <c r="F2" s="157"/>
      <c r="G2" s="3480" t="s">
        <v>567</v>
      </c>
      <c r="H2" s="838"/>
      <c r="I2" s="838"/>
      <c r="J2" s="838"/>
      <c r="K2" s="838"/>
      <c r="L2" s="838"/>
      <c r="M2" s="838"/>
      <c r="N2" s="838"/>
      <c r="O2" s="838"/>
      <c r="P2" s="838"/>
      <c r="Q2" s="838"/>
      <c r="R2" s="3951" t="s">
        <v>726</v>
      </c>
      <c r="AN2" s="3449">
        <v>0</v>
      </c>
    </row>
    <row customHeight="1" ht="11.25" hidden="1">
      <c r="AN3" s="3432">
        <v>0</v>
      </c>
    </row>
    <row customHeight="1" ht="11.25" hidden="1">
      <c r="R4" s="3430">
        <v>4</v>
      </c>
      <c r="AN4" s="3430">
        <v>0</v>
      </c>
    </row>
    <row customHeight="1" ht="11.549999999999999">
      <c r="AN5" s="3432">
        <v>11</v>
      </c>
    </row>
    <row customHeight="1" ht="31.5">
      <c r="E6" s="3553" t="s">
        <v>727</v>
      </c>
      <c r="F6" s="3553"/>
      <c r="G6" s="3553"/>
      <c r="H6" s="3553"/>
      <c r="I6" s="3553"/>
      <c r="J6" s="3553"/>
      <c r="K6" s="3553"/>
      <c r="L6" s="3553"/>
      <c r="M6" s="3553"/>
      <c r="N6" s="3553"/>
      <c r="O6" s="3553"/>
      <c r="P6" s="3553"/>
      <c r="Q6" s="3553"/>
      <c r="AN6" s="3432">
        <v>30</v>
      </c>
    </row>
    <row customHeight="1" ht="11.549999999999999">
      <c r="E7" s="3554" t="str">
        <f>IF(org=0,"Не определено",org)</f>
        <v>ООО "ТеплоЭлектроГенерирующая Компания"</v>
      </c>
      <c r="F7" s="3554"/>
      <c r="G7" s="3554"/>
      <c r="H7" s="3554"/>
      <c r="I7" s="3554"/>
      <c r="J7" s="3554"/>
      <c r="K7" s="3554"/>
      <c r="L7" s="3554"/>
      <c r="M7" s="3554"/>
      <c r="N7" s="3554"/>
      <c r="O7" s="3554"/>
      <c r="P7" s="3554"/>
      <c r="Q7" s="3554"/>
      <c r="AN7" s="3432">
        <v>11</v>
      </c>
    </row>
    <row customHeight="1" ht="11.549999999999999">
      <c r="J8" s="3399" t="s">
        <v>22</v>
      </c>
      <c r="K8" s="3399" t="s">
        <v>22</v>
      </c>
      <c r="L8" s="3399" t="s">
        <v>22</v>
      </c>
      <c r="M8" s="3399" t="s">
        <v>22</v>
      </c>
      <c r="N8" s="3399" t="s">
        <v>22</v>
      </c>
      <c r="O8" s="3399" t="s">
        <v>22</v>
      </c>
      <c r="P8" s="3399" t="s">
        <v>22</v>
      </c>
      <c r="Q8" s="3399" t="s">
        <v>22</v>
      </c>
      <c r="AN8" s="3432">
        <v>11</v>
      </c>
    </row>
    <row customHeight="1" ht="4.2">
      <c r="H9" s="3953"/>
      <c r="I9" s="3953" t="s">
        <v>116</v>
      </c>
      <c r="J9" s="3953" t="s">
        <v>121</v>
      </c>
      <c r="K9" s="3953" t="s">
        <v>123</v>
      </c>
      <c r="L9" s="3953" t="s">
        <v>125</v>
      </c>
      <c r="M9" s="3953" t="s">
        <v>127</v>
      </c>
      <c r="N9" s="3953" t="s">
        <v>129</v>
      </c>
      <c r="O9" s="3953" t="s">
        <v>131</v>
      </c>
      <c r="P9" s="3953" t="s">
        <v>133</v>
      </c>
      <c r="Q9" s="3953" t="s">
        <v>136</v>
      </c>
      <c r="AN9" s="3473">
        <v>4</v>
      </c>
    </row>
    <row customHeight="1" ht="11.549999999999999">
      <c r="E10" s="3924"/>
      <c r="F10" s="3925" t="s">
        <v>103</v>
      </c>
      <c r="G10" s="3926"/>
      <c r="H10" s="3954" t="str">
        <f>IF(H9="","",INDEX(DIFFERENTIATION_UNMERGE_VD,MATCH(H9,DIFFERENTIATION_ID_DIFF,0)))</f>
        <v/>
      </c>
      <c r="I10" s="3954" t="str">
        <f>IF(I9="","",INDEX(DIFFERENTIATION_UNMERGE_VD,MATCH(I9,DIFFERENTIATION_ID_DIFF,0)))</f>
        <v>Горячее водоснабжение</v>
      </c>
      <c r="J10" s="3954" t="str">
        <f>IF(J9="","",INDEX(DIFFERENTIATION_UNMERGE_VD,MATCH(J9,DIFFERENTIATION_ID_DIFF,0)))</f>
        <v>Горячее водоснабжение</v>
      </c>
      <c r="K10" s="3954" t="str">
        <f>IF(K9="","",INDEX(DIFFERENTIATION_UNMERGE_VD,MATCH(K9,DIFFERENTIATION_ID_DIFF,0)))</f>
        <v>Горячее водоснабжение</v>
      </c>
      <c r="L10" s="3954" t="str">
        <f>IF(L9="","",INDEX(DIFFERENTIATION_UNMERGE_VD,MATCH(L9,DIFFERENTIATION_ID_DIFF,0)))</f>
        <v>Горячее водоснабжение</v>
      </c>
      <c r="M10" s="3954" t="str">
        <f>IF(M9="","",INDEX(DIFFERENTIATION_UNMERGE_VD,MATCH(M9,DIFFERENTIATION_ID_DIFF,0)))</f>
        <v>Горячее водоснабжение</v>
      </c>
      <c r="N10" s="3954" t="str">
        <f>IF(N9="","",INDEX(DIFFERENTIATION_UNMERGE_VD,MATCH(N9,DIFFERENTIATION_ID_DIFF,0)))</f>
        <v>Горячее водоснабжение</v>
      </c>
      <c r="O10" s="3954" t="str">
        <f>IF(O9="","",INDEX(DIFFERENTIATION_UNMERGE_VD,MATCH(O9,DIFFERENTIATION_ID_DIFF,0)))</f>
        <v>Горячее водоснабжение</v>
      </c>
      <c r="P10" s="3954" t="str">
        <f>IF(P9="","",INDEX(DIFFERENTIATION_UNMERGE_VD,MATCH(P9,DIFFERENTIATION_ID_DIFF,0)))</f>
        <v>Горячее водоснабжение</v>
      </c>
      <c r="Q10" s="3954" t="str">
        <f>IF(Q9="","",INDEX(DIFFERENTIATION_UNMERGE_VD,MATCH(Q9,DIFFERENTIATION_ID_DIFF,0)))</f>
        <v>Горячее водоснабжение</v>
      </c>
      <c r="R10" s="3480"/>
      <c r="AN10" s="3432">
        <v>11</v>
      </c>
    </row>
    <row customHeight="1" ht="11.549999999999999">
      <c r="E11" s="3924"/>
      <c r="F11" s="3925" t="s">
        <v>579</v>
      </c>
      <c r="G11" s="3926"/>
      <c r="H11" s="3954" t="str">
        <f>IF(H9="","",INDEX(DIFFERENTIATION_UNMERGE_AREA,MATCH(H9,DIFFERENTIATION_ID_DIFF,0)))</f>
        <v/>
      </c>
      <c r="I11" s="3954" t="str">
        <f>IF(I9="","",INDEX(DIFFERENTIATION_UNMERGE_AREA,MATCH(I9,DIFFERENTIATION_ID_DIFF,0)))</f>
        <v>Территория 1</v>
      </c>
      <c r="J11" s="3954" t="str">
        <f>IF(J9="","",INDEX(DIFFERENTIATION_UNMERGE_AREA,MATCH(J9,DIFFERENTIATION_ID_DIFF,0)))</f>
        <v>Территория 1</v>
      </c>
      <c r="K11" s="3954" t="str">
        <f>IF(K9="","",INDEX(DIFFERENTIATION_UNMERGE_AREA,MATCH(K9,DIFFERENTIATION_ID_DIFF,0)))</f>
        <v>Территория 1</v>
      </c>
      <c r="L11" s="3954" t="str">
        <f>IF(L9="","",INDEX(DIFFERENTIATION_UNMERGE_AREA,MATCH(L9,DIFFERENTIATION_ID_DIFF,0)))</f>
        <v>Территория 1</v>
      </c>
      <c r="M11" s="3954" t="str">
        <f>IF(M9="","",INDEX(DIFFERENTIATION_UNMERGE_AREA,MATCH(M9,DIFFERENTIATION_ID_DIFF,0)))</f>
        <v>Территория 1</v>
      </c>
      <c r="N11" s="3954" t="str">
        <f>IF(N9="","",INDEX(DIFFERENTIATION_UNMERGE_AREA,MATCH(N9,DIFFERENTIATION_ID_DIFF,0)))</f>
        <v>Территория 1</v>
      </c>
      <c r="O11" s="3954" t="str">
        <f>IF(O9="","",INDEX(DIFFERENTIATION_UNMERGE_AREA,MATCH(O9,DIFFERENTIATION_ID_DIFF,0)))</f>
        <v>Территория 1</v>
      </c>
      <c r="P11" s="3954" t="str">
        <f>IF(P9="","",INDEX(DIFFERENTIATION_UNMERGE_AREA,MATCH(P9,DIFFERENTIATION_ID_DIFF,0)))</f>
        <v>Территория 1</v>
      </c>
      <c r="Q11" s="3954" t="str">
        <f>IF(Q9="","",INDEX(DIFFERENTIATION_UNMERGE_AREA,MATCH(Q9,DIFFERENTIATION_ID_DIFF,0)))</f>
        <v>Территория 1</v>
      </c>
      <c r="R11" s="3480"/>
      <c r="AN11" s="3432">
        <v>11</v>
      </c>
    </row>
    <row customHeight="1" ht="1.05">
      <c r="E12" s="3975"/>
      <c r="F12" s="3976" t="s">
        <v>580</v>
      </c>
      <c r="G12" s="3977"/>
      <c r="H12" s="3978" t="str">
        <f>IF(H9="","",INDEX(DIFFERENTIATION_UNMERGE_SYSTEM,MATCH(H9,DIFFERENTIATION_ID_DIFF,0)))</f>
        <v/>
      </c>
      <c r="I12" s="3978" t="str">
        <f>IF(I9="","",INDEX(DIFFERENTIATION_UNMERGE_SYSTEM,MATCH(I9,DIFFERENTIATION_ID_DIFF,0)))</f>
        <v>г. Саратов, ул.Деловая, 22, п. Юбилейный
</v>
      </c>
      <c r="J12" s="3978" t="str">
        <f>IF(J9="","",INDEX(DIFFERENTIATION_UNMERGE_SYSTEM,MATCH(J9,DIFFERENTIATION_ID_DIFF,0)))</f>
        <v>г. Саратов, ул. Вавилова,8/26 А
</v>
      </c>
      <c r="K12" s="3978" t="str">
        <f>IF(K9="","",INDEX(DIFFERENTIATION_UNMERGE_SYSTEM,MATCH(K9,DIFFERENTIATION_ID_DIFF,0)))</f>
        <v>г. Саратов, пр. 50 лет Октября, 60, 74, 108, ЦТП Волочаевский пр., 5, ЦТП Соколовая, 145/153
</v>
      </c>
      <c r="L12" s="3978" t="str">
        <f>IF(L9="","",INDEX(DIFFERENTIATION_UNMERGE_SYSTEM,MATCH(L9,DIFFERENTIATION_ID_DIFF,0)))</f>
        <v>г. Саратов, ул. Шелковичная, 186, ул. Шелковичная, 178, ул. Шелковичная, 155/161, ул. 2-я Садовая, 106 б.
</v>
      </c>
      <c r="M12" s="3978" t="str">
        <f>IF(M9="","",INDEX(DIFFERENTIATION_UNMERGE_SYSTEM,MATCH(M9,DIFFERENTIATION_ID_DIFF,0)))</f>
        <v>г. Саратов, ул. Ломоносова, 1
</v>
      </c>
      <c r="N12" s="3978"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3978" t="str">
        <f>IF(O9="","",INDEX(DIFFERENTIATION_UNMERGE_SYSTEM,MATCH(O9,DIFFERENTIATION_ID_DIFF,0)))</f>
        <v>г. Саратов, ул. Огородная, 77
</v>
      </c>
      <c r="P12" s="3978" t="str">
        <f>IF(P9="","",INDEX(DIFFERENTIATION_UNMERGE_SYSTEM,MATCH(P9,DIFFERENTIATION_ID_DIFF,0)))</f>
        <v>г. Саратов, ул. Танкистов, 89
</v>
      </c>
      <c r="Q12" s="3978" t="str">
        <f>IF(Q9="","",INDEX(DIFFERENTIATION_UNMERGE_SYSTEM,MATCH(Q9,DIFFERENTIATION_ID_DIFF,0)))</f>
        <v>г. Саратов, ул. Политехническая, 47
</v>
      </c>
      <c r="R12" s="3480"/>
      <c r="AN12" s="3432">
        <v>1</v>
      </c>
    </row>
    <row customHeight="1" ht="11.549999999999999">
      <c r="E13" s="3929" t="s">
        <v>315</v>
      </c>
      <c r="F13" s="3930"/>
      <c r="G13" s="3930"/>
      <c r="H13" s="3925"/>
      <c r="I13" s="3925"/>
      <c r="J13" s="3925"/>
      <c r="K13" s="3925"/>
      <c r="L13" s="3925"/>
      <c r="M13" s="3925"/>
      <c r="N13" s="3925"/>
      <c r="O13" s="3925"/>
      <c r="P13" s="3925"/>
      <c r="Q13" s="3925"/>
      <c r="R13" s="3480"/>
      <c r="AN13" s="3432">
        <v>11</v>
      </c>
    </row>
    <row customHeight="1" ht="24">
      <c r="E14" s="3480" t="s">
        <v>86</v>
      </c>
      <c r="F14" s="3480" t="s">
        <v>317</v>
      </c>
      <c r="G14" s="3480" t="s">
        <v>581</v>
      </c>
      <c r="H14" s="3480" t="s">
        <v>318</v>
      </c>
      <c r="I14" s="3480" t="s">
        <v>318</v>
      </c>
      <c r="J14" s="3480" t="s">
        <v>318</v>
      </c>
      <c r="K14" s="3480" t="s">
        <v>318</v>
      </c>
      <c r="L14" s="3480" t="s">
        <v>318</v>
      </c>
      <c r="M14" s="3480" t="s">
        <v>318</v>
      </c>
      <c r="N14" s="3480" t="s">
        <v>318</v>
      </c>
      <c r="O14" s="3480" t="s">
        <v>318</v>
      </c>
      <c r="P14" s="3480" t="s">
        <v>318</v>
      </c>
      <c r="Q14" s="3480" t="s">
        <v>318</v>
      </c>
      <c r="R14" s="3480"/>
      <c r="AN14" s="3432">
        <v>23</v>
      </c>
    </row>
    <row customHeight="1" ht="19.95">
      <c r="E15" s="1106" t="s">
        <v>107</v>
      </c>
      <c r="F15" s="3563" t="s">
        <v>728</v>
      </c>
      <c r="G15" s="3480" t="s">
        <v>567</v>
      </c>
      <c r="H15" s="1057"/>
      <c r="I15" s="1057"/>
      <c r="J15" s="1057"/>
      <c r="K15" s="1057"/>
      <c r="L15" s="1057"/>
      <c r="M15" s="1057"/>
      <c r="N15" s="1057"/>
      <c r="O15" s="1057"/>
      <c r="P15" s="1057"/>
      <c r="Q15" s="1057"/>
      <c r="R15" s="3764" t="s">
        <v>729</v>
      </c>
      <c r="S15" s="3979" t="s">
        <v>654</v>
      </c>
      <c r="AN15" s="3432">
        <v>19</v>
      </c>
    </row>
    <row customHeight="1" ht="35.699999999999996">
      <c r="E16" s="1106" t="s">
        <v>108</v>
      </c>
      <c r="F16" s="3563" t="s">
        <v>730</v>
      </c>
      <c r="G16" s="3480" t="s">
        <v>567</v>
      </c>
      <c r="H16" s="694">
        <f>SUM(H17,H20,H23,H26,H29:H32,H35)</f>
        <v>0</v>
      </c>
      <c r="I16" s="694">
        <f>SUM(I17,I20,I23,I26,I29:I32,I35)</f>
        <v>0</v>
      </c>
      <c r="J16" s="694">
        <f>SUM(J17,J20,J23,J26,J29:J32,J35)</f>
        <v>0</v>
      </c>
      <c r="K16" s="694">
        <f>SUM(K17,K20,K23,K26,K29:K32,K35)</f>
        <v>0</v>
      </c>
      <c r="L16" s="694">
        <f>SUM(L17,L20,L23,L26,L29:L32,L35)</f>
        <v>0</v>
      </c>
      <c r="M16" s="694">
        <f>SUM(M17,M20,M23,M26,M29:M32,M35)</f>
        <v>0</v>
      </c>
      <c r="N16" s="694">
        <f>SUM(N17,N20,N23,N26,N29:N32,N35)</f>
        <v>0</v>
      </c>
      <c r="O16" s="694">
        <f>SUM(O17,O20,O23,O26,O29:O32,O35)</f>
        <v>0</v>
      </c>
      <c r="P16" s="694">
        <f>SUM(P17,P20,P23,P26,P29:P32,P35)</f>
        <v>0</v>
      </c>
      <c r="Q16" s="694">
        <f>SUM(Q17,Q20,Q23,Q26,Q29:Q32,Q35)</f>
        <v>0</v>
      </c>
      <c r="R16" s="3764" t="s">
        <v>731</v>
      </c>
      <c r="S16" s="3979" t="s">
        <v>654</v>
      </c>
      <c r="AN16" s="3432">
        <v>34</v>
      </c>
    </row>
    <row customHeight="1" ht="19.95">
      <c r="E17" s="1108" t="s">
        <v>732</v>
      </c>
      <c r="F17" s="3912" t="s">
        <v>733</v>
      </c>
      <c r="G17" s="3436" t="s">
        <v>567</v>
      </c>
      <c r="H17" s="1057"/>
      <c r="I17" s="1057"/>
      <c r="J17" s="1057"/>
      <c r="K17" s="1057"/>
      <c r="L17" s="1057"/>
      <c r="M17" s="1057"/>
      <c r="N17" s="1057"/>
      <c r="O17" s="1057"/>
      <c r="P17" s="1057"/>
      <c r="Q17" s="1057"/>
      <c r="R17" s="3764" t="s">
        <v>734</v>
      </c>
      <c r="AN17" s="3432">
        <v>19</v>
      </c>
    </row>
    <row customHeight="1" ht="24">
      <c r="E18" s="1108" t="s">
        <v>735</v>
      </c>
      <c r="F18" s="3961" t="s">
        <v>736</v>
      </c>
      <c r="G18" s="3436" t="s">
        <v>567</v>
      </c>
      <c r="H18" s="1057"/>
      <c r="I18" s="1057"/>
      <c r="J18" s="1057"/>
      <c r="K18" s="1057"/>
      <c r="L18" s="1057"/>
      <c r="M18" s="1057"/>
      <c r="N18" s="1057"/>
      <c r="O18" s="1057"/>
      <c r="P18" s="1057"/>
      <c r="Q18" s="1057"/>
      <c r="R18" s="3764" t="s">
        <v>737</v>
      </c>
      <c r="AN18" s="3432">
        <v>23</v>
      </c>
    </row>
    <row customHeight="1" ht="35.699999999999996">
      <c r="E19" s="1108" t="s">
        <v>738</v>
      </c>
      <c r="F19" s="3961" t="s">
        <v>739</v>
      </c>
      <c r="G19" s="3436" t="s">
        <v>567</v>
      </c>
      <c r="H19" s="1057"/>
      <c r="I19" s="1057"/>
      <c r="J19" s="1057"/>
      <c r="K19" s="1057"/>
      <c r="L19" s="1057"/>
      <c r="M19" s="1057"/>
      <c r="N19" s="1057"/>
      <c r="O19" s="1057"/>
      <c r="P19" s="1057"/>
      <c r="Q19" s="1057"/>
      <c r="R19" s="3764"/>
      <c r="AN19" s="3432">
        <v>34</v>
      </c>
    </row>
    <row customHeight="1" ht="19.95">
      <c r="E20" s="1108" t="s">
        <v>322</v>
      </c>
      <c r="F20" s="3912" t="s">
        <v>740</v>
      </c>
      <c r="G20" s="3436" t="s">
        <v>567</v>
      </c>
      <c r="H20" s="1057"/>
      <c r="I20" s="1057"/>
      <c r="J20" s="1057"/>
      <c r="K20" s="1057"/>
      <c r="L20" s="1057"/>
      <c r="M20" s="1057"/>
      <c r="N20" s="1057"/>
      <c r="O20" s="1057"/>
      <c r="P20" s="1057"/>
      <c r="Q20" s="1057"/>
      <c r="R20" s="3764" t="s">
        <v>741</v>
      </c>
      <c r="AN20" s="3432">
        <v>19</v>
      </c>
    </row>
    <row customHeight="1" ht="19.95">
      <c r="E21" s="1108" t="s">
        <v>742</v>
      </c>
      <c r="F21" s="3961" t="s">
        <v>743</v>
      </c>
      <c r="G21" s="3436" t="s">
        <v>567</v>
      </c>
      <c r="H21" s="1057"/>
      <c r="I21" s="1057"/>
      <c r="J21" s="1057"/>
      <c r="K21" s="1057"/>
      <c r="L21" s="1057"/>
      <c r="M21" s="1057"/>
      <c r="N21" s="1057"/>
      <c r="O21" s="1057"/>
      <c r="P21" s="1057"/>
      <c r="Q21" s="1057"/>
      <c r="R21" s="3764"/>
      <c r="AN21" s="3432">
        <v>19</v>
      </c>
    </row>
    <row customHeight="1" ht="19.95">
      <c r="E22" s="1108" t="s">
        <v>744</v>
      </c>
      <c r="F22" s="3961" t="s">
        <v>745</v>
      </c>
      <c r="G22" s="3436" t="s">
        <v>567</v>
      </c>
      <c r="H22" s="1057"/>
      <c r="I22" s="1057"/>
      <c r="J22" s="1057"/>
      <c r="K22" s="1057"/>
      <c r="L22" s="1057"/>
      <c r="M22" s="1057"/>
      <c r="N22" s="1057"/>
      <c r="O22" s="1057"/>
      <c r="P22" s="1057"/>
      <c r="Q22" s="1057"/>
      <c r="R22" s="3764"/>
      <c r="AN22" s="3432">
        <v>19</v>
      </c>
    </row>
    <row customHeight="1" ht="24">
      <c r="E23" s="1108" t="s">
        <v>325</v>
      </c>
      <c r="F23" s="3912" t="s">
        <v>746</v>
      </c>
      <c r="G23" s="3436" t="s">
        <v>567</v>
      </c>
      <c r="H23" s="1057"/>
      <c r="I23" s="1057"/>
      <c r="J23" s="1057"/>
      <c r="K23" s="1057"/>
      <c r="L23" s="1057"/>
      <c r="M23" s="1057"/>
      <c r="N23" s="1057"/>
      <c r="O23" s="1057"/>
      <c r="P23" s="1057"/>
      <c r="Q23" s="1057"/>
      <c r="R23" s="3764" t="s">
        <v>747</v>
      </c>
      <c r="AN23" s="3432">
        <v>23</v>
      </c>
    </row>
    <row customHeight="1" ht="19.95">
      <c r="E24" s="1108" t="s">
        <v>748</v>
      </c>
      <c r="F24" s="3961" t="s">
        <v>749</v>
      </c>
      <c r="G24" s="3436" t="s">
        <v>567</v>
      </c>
      <c r="H24" s="1057"/>
      <c r="I24" s="1057"/>
      <c r="J24" s="1057"/>
      <c r="K24" s="1057"/>
      <c r="L24" s="1057"/>
      <c r="M24" s="1057"/>
      <c r="N24" s="1057"/>
      <c r="O24" s="1057"/>
      <c r="P24" s="1057"/>
      <c r="Q24" s="1057"/>
      <c r="R24" s="3764"/>
      <c r="AN24" s="3432">
        <v>19</v>
      </c>
    </row>
    <row customHeight="1" ht="35.699999999999996">
      <c r="E25" s="1108" t="s">
        <v>750</v>
      </c>
      <c r="F25" s="3961" t="s">
        <v>751</v>
      </c>
      <c r="G25" s="3436" t="s">
        <v>567</v>
      </c>
      <c r="H25" s="1057"/>
      <c r="I25" s="1057"/>
      <c r="J25" s="1057"/>
      <c r="K25" s="1057"/>
      <c r="L25" s="1057"/>
      <c r="M25" s="1057"/>
      <c r="N25" s="1057"/>
      <c r="O25" s="1057"/>
      <c r="P25" s="1057"/>
      <c r="Q25" s="1057"/>
      <c r="R25" s="3764"/>
      <c r="AN25" s="3432">
        <v>34</v>
      </c>
    </row>
    <row customHeight="1" ht="24">
      <c r="E26" s="1108" t="s">
        <v>752</v>
      </c>
      <c r="F26" s="3912" t="s">
        <v>753</v>
      </c>
      <c r="G26" s="3436" t="s">
        <v>567</v>
      </c>
      <c r="H26" s="1057"/>
      <c r="I26" s="1057"/>
      <c r="J26" s="1057"/>
      <c r="K26" s="1057"/>
      <c r="L26" s="1057"/>
      <c r="M26" s="1057"/>
      <c r="N26" s="1057"/>
      <c r="O26" s="1057"/>
      <c r="P26" s="1057"/>
      <c r="Q26" s="1057"/>
      <c r="R26" s="3764" t="s">
        <v>754</v>
      </c>
      <c r="AN26" s="3432">
        <v>23</v>
      </c>
    </row>
    <row customHeight="1" ht="19.95">
      <c r="E27" s="1109" t="s">
        <v>755</v>
      </c>
      <c r="F27" s="3961" t="s">
        <v>756</v>
      </c>
      <c r="G27" s="3436" t="s">
        <v>567</v>
      </c>
      <c r="H27" s="1110"/>
      <c r="I27" s="1110"/>
      <c r="J27" s="1110"/>
      <c r="K27" s="1110"/>
      <c r="L27" s="1110"/>
      <c r="M27" s="1110"/>
      <c r="N27" s="1110"/>
      <c r="O27" s="1110"/>
      <c r="P27" s="1110"/>
      <c r="Q27" s="1110"/>
      <c r="R27" s="3764"/>
      <c r="AN27" s="3432">
        <v>19</v>
      </c>
    </row>
    <row customHeight="1" ht="19.95">
      <c r="E28" s="1109" t="s">
        <v>757</v>
      </c>
      <c r="F28" s="3961" t="s">
        <v>758</v>
      </c>
      <c r="G28" s="3436" t="s">
        <v>567</v>
      </c>
      <c r="H28" s="1110"/>
      <c r="I28" s="1110"/>
      <c r="J28" s="1110"/>
      <c r="K28" s="1110"/>
      <c r="L28" s="1110"/>
      <c r="M28" s="1110"/>
      <c r="N28" s="1110"/>
      <c r="O28" s="1110"/>
      <c r="P28" s="1110"/>
      <c r="Q28" s="1110"/>
      <c r="R28" s="3764"/>
      <c r="AN28" s="3432">
        <v>19</v>
      </c>
    </row>
    <row customHeight="1" ht="19.95">
      <c r="E29" s="1109" t="s">
        <v>759</v>
      </c>
      <c r="F29" s="3912" t="s">
        <v>760</v>
      </c>
      <c r="G29" s="3436" t="s">
        <v>567</v>
      </c>
      <c r="H29" s="1110"/>
      <c r="I29" s="1110"/>
      <c r="J29" s="1110"/>
      <c r="K29" s="1110"/>
      <c r="L29" s="1110"/>
      <c r="M29" s="1110"/>
      <c r="N29" s="1110"/>
      <c r="O29" s="1110"/>
      <c r="P29" s="1110"/>
      <c r="Q29" s="1110"/>
      <c r="R29" s="3764"/>
      <c r="AN29" s="3432">
        <v>19</v>
      </c>
    </row>
    <row customHeight="1" ht="19.95">
      <c r="E30" s="1109" t="s">
        <v>761</v>
      </c>
      <c r="F30" s="3912" t="s">
        <v>762</v>
      </c>
      <c r="G30" s="3436" t="s">
        <v>567</v>
      </c>
      <c r="H30" s="1110"/>
      <c r="I30" s="1110"/>
      <c r="J30" s="1110"/>
      <c r="K30" s="1110"/>
      <c r="L30" s="1110"/>
      <c r="M30" s="1110"/>
      <c r="N30" s="1110"/>
      <c r="O30" s="1110"/>
      <c r="P30" s="1110"/>
      <c r="Q30" s="1110"/>
      <c r="R30" s="3764"/>
      <c r="AN30" s="3432">
        <v>19</v>
      </c>
    </row>
    <row customHeight="1" ht="19.95">
      <c r="E31" s="1109" t="s">
        <v>763</v>
      </c>
      <c r="F31" s="3912" t="s">
        <v>764</v>
      </c>
      <c r="G31" s="3436" t="s">
        <v>567</v>
      </c>
      <c r="H31" s="1110"/>
      <c r="I31" s="1110"/>
      <c r="J31" s="1110"/>
      <c r="K31" s="1110"/>
      <c r="L31" s="1110"/>
      <c r="M31" s="1110"/>
      <c r="N31" s="1110"/>
      <c r="O31" s="1110"/>
      <c r="P31" s="1110"/>
      <c r="Q31" s="1110"/>
      <c r="R31" s="3764"/>
      <c r="AN31" s="3432">
        <v>19</v>
      </c>
    </row>
    <row customHeight="1" ht="35.699999999999996">
      <c r="E32" s="1109" t="s">
        <v>765</v>
      </c>
      <c r="F32" s="3912" t="s">
        <v>766</v>
      </c>
      <c r="G32" s="3558" t="s">
        <v>567</v>
      </c>
      <c r="H32" s="1072">
        <f>SUM(H33:H34)</f>
        <v>0</v>
      </c>
      <c r="I32" s="1072">
        <f>SUM(I33:I34)</f>
        <v>0</v>
      </c>
      <c r="J32" s="1072">
        <f>SUM(J33:J34)</f>
        <v>0</v>
      </c>
      <c r="K32" s="1072">
        <f>SUM(K33:K34)</f>
        <v>0</v>
      </c>
      <c r="L32" s="1072">
        <f>SUM(L33:L34)</f>
        <v>0</v>
      </c>
      <c r="M32" s="1072">
        <f>SUM(M33:M34)</f>
        <v>0</v>
      </c>
      <c r="N32" s="1072">
        <f>SUM(N33:N34)</f>
        <v>0</v>
      </c>
      <c r="O32" s="1072">
        <f>SUM(O33:O34)</f>
        <v>0</v>
      </c>
      <c r="P32" s="1072">
        <f>SUM(P33:P34)</f>
        <v>0</v>
      </c>
      <c r="Q32" s="1072">
        <f>SUM(Q33:Q34)</f>
        <v>0</v>
      </c>
      <c r="R32" s="3764" t="s">
        <v>767</v>
      </c>
      <c r="AN32" s="3449">
        <v>34</v>
      </c>
    </row>
    <row customHeight="1" ht="1.05">
      <c r="E33" s="3481" t="str">
        <f>E32&amp;".0"</f>
        <v>2.8.0</v>
      </c>
      <c r="F33" s="3963"/>
      <c r="G33" s="3481"/>
      <c r="H33" s="1074"/>
      <c r="I33" s="1074"/>
      <c r="J33" s="1074"/>
      <c r="K33" s="1074"/>
      <c r="L33" s="1074"/>
      <c r="M33" s="1074"/>
      <c r="N33" s="1074"/>
      <c r="O33" s="1074"/>
      <c r="P33" s="1074"/>
      <c r="Q33" s="1074"/>
      <c r="R33" s="3964"/>
      <c r="AN33" s="3473">
        <v>1</v>
      </c>
    </row>
    <row customHeight="1" ht="19.95">
      <c r="E34" s="1067"/>
      <c r="F34" s="1111" t="s">
        <v>592</v>
      </c>
      <c r="G34" s="3727"/>
      <c r="H34" s="3935"/>
      <c r="I34" s="3935"/>
      <c r="J34" s="3935"/>
      <c r="K34" s="3935"/>
      <c r="L34" s="3935"/>
      <c r="M34" s="3935"/>
      <c r="N34" s="3935"/>
      <c r="O34" s="3935"/>
      <c r="P34" s="3935"/>
      <c r="Q34" s="3935"/>
      <c r="R34" s="3793" t="s">
        <v>768</v>
      </c>
      <c r="AN34" s="3449">
        <v>19</v>
      </c>
    </row>
    <row customHeight="1" ht="60">
      <c r="E35" s="1109" t="s">
        <v>769</v>
      </c>
      <c r="F35" s="3912" t="s">
        <v>770</v>
      </c>
      <c r="G35" s="3436" t="s">
        <v>567</v>
      </c>
      <c r="H35" s="1110"/>
      <c r="I35" s="1110"/>
      <c r="J35" s="1110"/>
      <c r="K35" s="1110"/>
      <c r="L35" s="1110"/>
      <c r="M35" s="1110"/>
      <c r="N35" s="1110"/>
      <c r="O35" s="1110"/>
      <c r="P35" s="1110"/>
      <c r="Q35" s="1110"/>
      <c r="R35" s="3764" t="s">
        <v>771</v>
      </c>
      <c r="AN35" s="3432">
        <v>57</v>
      </c>
    </row>
    <row customHeight="1" ht="24">
      <c r="A36" s="1069" t="s">
        <v>593</v>
      </c>
      <c r="E36" s="1108" t="s">
        <v>88</v>
      </c>
      <c r="F36" s="3563" t="s">
        <v>772</v>
      </c>
      <c r="G36" s="3436" t="s">
        <v>567</v>
      </c>
      <c r="H36" s="1057"/>
      <c r="I36" s="1057"/>
      <c r="J36" s="1057"/>
      <c r="K36" s="1057"/>
      <c r="L36" s="1057"/>
      <c r="M36" s="1057"/>
      <c r="N36" s="1057"/>
      <c r="O36" s="1057"/>
      <c r="P36" s="1057"/>
      <c r="Q36" s="1057"/>
      <c r="R36" s="3764" t="s">
        <v>773</v>
      </c>
      <c r="AN36" s="3449">
        <v>23</v>
      </c>
    </row>
    <row customHeight="1" ht="35.699999999999996">
      <c r="A37" s="1069"/>
      <c r="E37" s="1108" t="s">
        <v>339</v>
      </c>
      <c r="F37" s="3912" t="s">
        <v>774</v>
      </c>
      <c r="G37" s="3436"/>
      <c r="H37" s="1057"/>
      <c r="I37" s="1057"/>
      <c r="J37" s="1057"/>
      <c r="K37" s="1057"/>
      <c r="L37" s="1057"/>
      <c r="M37" s="1057"/>
      <c r="N37" s="1057"/>
      <c r="O37" s="1057"/>
      <c r="P37" s="1057"/>
      <c r="Q37" s="1057"/>
      <c r="R37" s="3764"/>
      <c r="AN37" s="3449">
        <v>34</v>
      </c>
    </row>
    <row customHeight="1" ht="19.95">
      <c r="E38" s="1108" t="s">
        <v>89</v>
      </c>
      <c r="F38" s="3563" t="s">
        <v>775</v>
      </c>
      <c r="G38" s="3436" t="s">
        <v>567</v>
      </c>
      <c r="H38" s="1057"/>
      <c r="I38" s="1057"/>
      <c r="J38" s="1057"/>
      <c r="K38" s="1057"/>
      <c r="L38" s="1057"/>
      <c r="M38" s="1057"/>
      <c r="N38" s="1057"/>
      <c r="O38" s="1057"/>
      <c r="P38" s="1057"/>
      <c r="Q38" s="1057"/>
      <c r="R38" s="3764" t="s">
        <v>776</v>
      </c>
      <c r="AN38" s="3449">
        <v>19</v>
      </c>
    </row>
    <row customHeight="1" ht="24">
      <c r="E39" s="1108" t="s">
        <v>777</v>
      </c>
      <c r="F39" s="3912" t="s">
        <v>778</v>
      </c>
      <c r="G39" s="3436" t="s">
        <v>567</v>
      </c>
      <c r="H39" s="1057"/>
      <c r="I39" s="1057"/>
      <c r="J39" s="1057"/>
      <c r="K39" s="1057"/>
      <c r="L39" s="1057"/>
      <c r="M39" s="1057"/>
      <c r="N39" s="1057"/>
      <c r="O39" s="1057"/>
      <c r="P39" s="1057"/>
      <c r="Q39" s="1057"/>
      <c r="R39" s="3764" t="s">
        <v>779</v>
      </c>
      <c r="AN39" s="3449">
        <v>23</v>
      </c>
    </row>
    <row customHeight="1" ht="24">
      <c r="E40" s="1108" t="s">
        <v>780</v>
      </c>
      <c r="F40" s="3961" t="s">
        <v>781</v>
      </c>
      <c r="G40" s="3436" t="s">
        <v>567</v>
      </c>
      <c r="H40" s="1057"/>
      <c r="I40" s="1057"/>
      <c r="J40" s="1057"/>
      <c r="K40" s="1057"/>
      <c r="L40" s="1057"/>
      <c r="M40" s="1057"/>
      <c r="N40" s="1057"/>
      <c r="O40" s="1057"/>
      <c r="P40" s="1057"/>
      <c r="Q40" s="1057"/>
      <c r="R40" s="3764" t="s">
        <v>782</v>
      </c>
      <c r="AN40" s="3449">
        <v>23</v>
      </c>
    </row>
    <row customHeight="1" ht="24">
      <c r="E41" s="1108" t="s">
        <v>783</v>
      </c>
      <c r="F41" s="3961" t="s">
        <v>784</v>
      </c>
      <c r="G41" s="3436" t="s">
        <v>567</v>
      </c>
      <c r="H41" s="1057"/>
      <c r="I41" s="1057"/>
      <c r="J41" s="1057"/>
      <c r="K41" s="1057"/>
      <c r="L41" s="1057"/>
      <c r="M41" s="1057"/>
      <c r="N41" s="1057"/>
      <c r="O41" s="1057"/>
      <c r="P41" s="1057"/>
      <c r="Q41" s="1057"/>
      <c r="R41" s="3764" t="s">
        <v>785</v>
      </c>
      <c r="AN41" s="3449">
        <v>23</v>
      </c>
    </row>
    <row customHeight="1" ht="24">
      <c r="E42" s="1108" t="s">
        <v>786</v>
      </c>
      <c r="F42" s="3961" t="s">
        <v>787</v>
      </c>
      <c r="G42" s="3436" t="s">
        <v>567</v>
      </c>
      <c r="H42" s="1057"/>
      <c r="I42" s="1057"/>
      <c r="J42" s="1057"/>
      <c r="K42" s="1057"/>
      <c r="L42" s="1057"/>
      <c r="M42" s="1057"/>
      <c r="N42" s="1057"/>
      <c r="O42" s="1057"/>
      <c r="P42" s="1057"/>
      <c r="Q42" s="1057"/>
      <c r="R42" s="3764" t="s">
        <v>788</v>
      </c>
      <c r="AN42" s="3449">
        <v>23</v>
      </c>
    </row>
    <row customHeight="1" ht="35.699999999999996">
      <c r="C43" s="3473" t="s">
        <v>604</v>
      </c>
      <c r="E43" s="1108" t="s">
        <v>109</v>
      </c>
      <c r="F43" s="3563" t="s">
        <v>653</v>
      </c>
      <c r="G43" s="3480" t="s">
        <v>75</v>
      </c>
      <c r="H43" s="431"/>
      <c r="I43" s="431"/>
      <c r="J43" s="431"/>
      <c r="K43" s="431"/>
      <c r="L43" s="431"/>
      <c r="M43" s="431"/>
      <c r="N43" s="431"/>
      <c r="O43" s="431"/>
      <c r="P43" s="431"/>
      <c r="Q43" s="431"/>
      <c r="R43" s="3764" t="s">
        <v>789</v>
      </c>
      <c r="AN43" s="3449">
        <v>34</v>
      </c>
    </row>
    <row customHeight="1" ht="35.699999999999996">
      <c r="E44" s="1108" t="s">
        <v>90</v>
      </c>
      <c r="F44" s="3563" t="s">
        <v>790</v>
      </c>
      <c r="G44" s="3436" t="s">
        <v>791</v>
      </c>
      <c r="H44" s="1053"/>
      <c r="I44" s="1053"/>
      <c r="J44" s="1053"/>
      <c r="K44" s="1053"/>
      <c r="L44" s="1053"/>
      <c r="M44" s="1053"/>
      <c r="N44" s="1053"/>
      <c r="O44" s="1053"/>
      <c r="P44" s="1053"/>
      <c r="Q44" s="1053"/>
      <c r="R44" s="3764" t="s">
        <v>792</v>
      </c>
      <c r="AN44" s="3449">
        <v>34</v>
      </c>
    </row>
    <row customHeight="1" ht="24">
      <c r="E45" s="1108" t="s">
        <v>91</v>
      </c>
      <c r="F45" s="3563" t="s">
        <v>793</v>
      </c>
      <c r="G45" s="3436" t="s">
        <v>794</v>
      </c>
      <c r="H45" s="1053"/>
      <c r="I45" s="1053"/>
      <c r="J45" s="1053"/>
      <c r="K45" s="1053"/>
      <c r="L45" s="1053"/>
      <c r="M45" s="1053"/>
      <c r="N45" s="1053"/>
      <c r="O45" s="1053"/>
      <c r="P45" s="1053"/>
      <c r="Q45" s="1053"/>
      <c r="R45" s="3764" t="s">
        <v>795</v>
      </c>
      <c r="AN45" s="3449">
        <v>23</v>
      </c>
    </row>
    <row customHeight="1" ht="19.95">
      <c r="E46" s="1108" t="s">
        <v>110</v>
      </c>
      <c r="F46" s="3563" t="s">
        <v>796</v>
      </c>
      <c r="G46" s="3436" t="s">
        <v>606</v>
      </c>
      <c r="H46" s="1070"/>
      <c r="I46" s="1070"/>
      <c r="J46" s="1070"/>
      <c r="K46" s="1070"/>
      <c r="L46" s="1070"/>
      <c r="M46" s="1070"/>
      <c r="N46" s="1070"/>
      <c r="O46" s="1070"/>
      <c r="P46" s="1070"/>
      <c r="Q46" s="1070"/>
      <c r="R46" s="3764"/>
      <c r="AN46" s="3449">
        <v>19</v>
      </c>
    </row>
    <row customHeight="1" ht="11.549999999999999">
      <c r="AN47" s="3432">
        <v>11</v>
      </c>
    </row>
    <row customHeight="1" ht="11.549999999999999">
      <c r="AN48" s="3637">
        <v>11</v>
      </c>
    </row>
    <row customHeight="1" ht="11.549999999999999">
      <c r="AN49" s="3637">
        <v>11</v>
      </c>
    </row>
    <row customHeight="1" ht="11.549999999999999">
      <c r="AN50" s="3637">
        <v>11</v>
      </c>
    </row>
    <row customHeight="1" ht="11.549999999999999">
      <c r="AN51" s="3637">
        <v>11</v>
      </c>
    </row>
    <row customHeight="1" ht="11.549999999999999">
      <c r="AN52" s="3637">
        <v>11</v>
      </c>
    </row>
    <row customHeight="1" ht="11.549999999999999">
      <c r="AN53" s="3637">
        <v>11</v>
      </c>
    </row>
    <row customHeight="1" ht="11.549999999999999">
      <c r="AN54" s="3637">
        <v>11</v>
      </c>
    </row>
    <row customHeight="1" ht="11.549999999999999">
      <c r="AN55" s="3637">
        <v>11</v>
      </c>
    </row>
    <row customHeight="1" ht="11.549999999999999">
      <c r="AN56" s="3637">
        <v>11</v>
      </c>
    </row>
    <row customHeight="1" ht="11.549999999999999">
      <c r="AN57" s="3637">
        <v>11</v>
      </c>
    </row>
    <row customHeight="1" ht="11.549999999999999">
      <c r="AN58" s="3637">
        <v>11</v>
      </c>
    </row>
    <row customHeight="1" ht="11.549999999999999">
      <c r="AN59" s="3637">
        <v>11</v>
      </c>
    </row>
    <row customHeight="1" ht="11.549999999999999">
      <c r="AN60" s="3637">
        <v>11</v>
      </c>
    </row>
    <row customHeight="1" ht="11.549999999999999">
      <c r="AN61" s="3637">
        <v>11</v>
      </c>
    </row>
    <row customHeight="1" ht="11.549999999999999">
      <c r="AN62" s="3637">
        <v>11</v>
      </c>
    </row>
    <row customHeight="1" ht="11.549999999999999">
      <c r="AN63" s="3637">
        <v>11</v>
      </c>
    </row>
    <row customHeight="1" ht="11.549999999999999">
      <c r="AN64" s="3637">
        <v>11</v>
      </c>
    </row>
    <row customHeight="1" ht="11.549999999999999">
      <c r="AN65" s="3637">
        <v>11</v>
      </c>
    </row>
    <row customHeight="1" ht="11.549999999999999">
      <c r="AN66" s="3637">
        <v>11</v>
      </c>
    </row>
    <row customHeight="1" ht="11.549999999999999">
      <c r="AN67" s="3637">
        <v>11</v>
      </c>
    </row>
    <row customHeight="1" ht="11.549999999999999">
      <c r="AN68" s="3637">
        <v>11</v>
      </c>
    </row>
    <row customHeight="1" ht="11.549999999999999">
      <c r="AN69" s="3637">
        <v>11</v>
      </c>
    </row>
    <row customHeight="1" ht="11.549999999999999">
      <c r="AN70" s="3637">
        <v>11</v>
      </c>
    </row>
    <row customHeight="1" ht="11.549999999999999">
      <c r="AN71" s="3637">
        <v>11</v>
      </c>
    </row>
    <row customHeight="1" ht="11.549999999999999">
      <c r="AN72" s="3637">
        <v>11</v>
      </c>
    </row>
    <row customHeight="1" ht="11.549999999999999">
      <c r="AN73" s="3637">
        <v>11</v>
      </c>
    </row>
    <row customHeight="1" ht="11.549999999999999">
      <c r="AN74" s="3637">
        <v>11</v>
      </c>
    </row>
    <row customHeight="1" ht="11.549999999999999">
      <c r="AN75" s="3637">
        <v>11</v>
      </c>
    </row>
    <row customHeight="1" ht="11.549999999999999">
      <c r="AN76" s="3637">
        <v>11</v>
      </c>
    </row>
    <row customHeight="1" ht="11.549999999999999">
      <c r="AN77" s="3637">
        <v>11</v>
      </c>
    </row>
    <row customHeight="1" ht="11.549999999999999">
      <c r="AN78" s="3637">
        <v>11</v>
      </c>
    </row>
    <row customHeight="1" ht="11.549999999999999">
      <c r="AN79" s="3637">
        <v>11</v>
      </c>
    </row>
    <row customHeight="1" ht="11.549999999999999">
      <c r="AN80" s="3637">
        <v>11</v>
      </c>
    </row>
    <row customHeight="1" ht="11.549999999999999">
      <c r="AN81" s="3637">
        <v>11</v>
      </c>
    </row>
    <row customHeight="1" ht="11.549999999999999">
      <c r="AN82" s="3637">
        <v>11</v>
      </c>
    </row>
    <row customHeight="1" ht="11.549999999999999">
      <c r="AN83" s="3637">
        <v>11</v>
      </c>
    </row>
    <row customHeight="1" ht="11.549999999999999">
      <c r="AN84" s="3637">
        <v>11</v>
      </c>
    </row>
    <row customHeight="1" ht="11.549999999999999">
      <c r="AN85" s="3637">
        <v>11</v>
      </c>
    </row>
    <row customHeight="1" ht="11.549999999999999">
      <c r="AN86" s="3637">
        <v>11</v>
      </c>
    </row>
    <row customHeight="1" ht="11.549999999999999">
      <c r="AN87" s="3637">
        <v>11</v>
      </c>
    </row>
    <row customHeight="1" ht="11.549999999999999">
      <c r="AN88" s="3637">
        <v>11</v>
      </c>
    </row>
    <row customHeight="1" ht="11.549999999999999">
      <c r="AN89" s="3637">
        <v>11</v>
      </c>
    </row>
    <row customHeight="1" ht="11.549999999999999">
      <c r="AN90" s="3637">
        <v>11</v>
      </c>
    </row>
    <row customHeight="1" ht="11.549999999999999">
      <c r="AN91" s="3637">
        <v>11</v>
      </c>
    </row>
    <row customHeight="1" ht="11.549999999999999">
      <c r="AN92" s="3637">
        <v>11</v>
      </c>
    </row>
    <row customHeight="1" ht="11.549999999999999">
      <c r="AN93" s="3637">
        <v>11</v>
      </c>
    </row>
    <row customHeight="1" ht="11.549999999999999">
      <c r="AN94" s="3637">
        <v>11</v>
      </c>
    </row>
    <row customHeight="1" ht="11.549999999999999">
      <c r="AN95" s="3637">
        <v>11</v>
      </c>
    </row>
    <row customHeight="1" ht="11.549999999999999">
      <c r="AN96" s="3637">
        <v>11</v>
      </c>
    </row>
    <row customHeight="1" ht="11.549999999999999">
      <c r="AN97" s="3637">
        <v>11</v>
      </c>
    </row>
    <row customHeight="1" ht="11.549999999999999">
      <c r="AN98" s="3637">
        <v>11</v>
      </c>
    </row>
    <row customHeight="1" ht="11.549999999999999">
      <c r="AN99" s="3637">
        <v>11</v>
      </c>
    </row>
    <row customHeight="1" ht="11.549999999999999">
      <c r="AN100" s="3637">
        <v>11</v>
      </c>
    </row>
    <row customHeight="1" ht="11.549999999999999">
      <c r="AN101" s="3637">
        <v>11</v>
      </c>
    </row>
    <row customHeight="1" ht="11.549999999999999">
      <c r="AN102" s="3637">
        <v>11</v>
      </c>
    </row>
    <row customHeight="1" ht="11.549999999999999">
      <c r="AN103" s="3637">
        <v>11</v>
      </c>
    </row>
    <row customHeight="1" ht="11.549999999999999">
      <c r="AN104" s="3637">
        <v>11</v>
      </c>
    </row>
    <row customHeight="1" ht="11.549999999999999">
      <c r="AN105" s="3637">
        <v>11</v>
      </c>
    </row>
    <row customHeight="1" ht="11.549999999999999">
      <c r="AN106" s="3637">
        <v>11</v>
      </c>
    </row>
    <row customHeight="1" ht="11.549999999999999">
      <c r="AN107" s="3637">
        <v>11</v>
      </c>
    </row>
    <row customHeight="1" ht="11.549999999999999">
      <c r="AN108" s="3637">
        <v>11</v>
      </c>
    </row>
    <row customHeight="1" ht="11.549999999999999">
      <c r="AN109" s="3637">
        <v>11</v>
      </c>
    </row>
    <row customHeight="1" ht="11.549999999999999">
      <c r="AN110" s="3637">
        <v>11</v>
      </c>
    </row>
    <row customHeight="1" ht="11.549999999999999">
      <c r="AN111" s="3637">
        <v>11</v>
      </c>
    </row>
    <row customHeight="1" ht="11.549999999999999">
      <c r="AN112" s="3637">
        <v>11</v>
      </c>
    </row>
    <row customHeight="1" ht="11.549999999999999">
      <c r="AN113" s="3637">
        <v>11</v>
      </c>
    </row>
    <row customHeight="1" ht="11.549999999999999">
      <c r="AN114" s="3637">
        <v>11</v>
      </c>
    </row>
    <row customHeight="1" ht="11.549999999999999">
      <c r="AN115" s="3637">
        <v>11</v>
      </c>
    </row>
    <row customHeight="1" ht="11.549999999999999">
      <c r="AN116" s="3637">
        <v>11</v>
      </c>
    </row>
    <row customHeight="1" ht="11.549999999999999">
      <c r="AN117" s="3637">
        <v>11</v>
      </c>
    </row>
    <row customHeight="1" ht="11.549999999999999">
      <c r="AN118" s="3637">
        <v>11</v>
      </c>
    </row>
    <row customHeight="1" ht="11.549999999999999">
      <c r="AN119" s="3637">
        <v>11</v>
      </c>
    </row>
    <row customHeight="1" ht="11.549999999999999">
      <c r="AN120" s="3637">
        <v>11</v>
      </c>
    </row>
    <row customHeight="1" ht="11.549999999999999">
      <c r="AN121" s="3637">
        <v>11</v>
      </c>
    </row>
    <row customHeight="1" ht="11.549999999999999">
      <c r="AN122" s="3637">
        <v>11</v>
      </c>
    </row>
    <row customHeight="1" ht="11.549999999999999">
      <c r="AN123" s="3637">
        <v>11</v>
      </c>
    </row>
    <row customHeight="1" ht="11.549999999999999">
      <c r="AN124" s="3637">
        <v>11</v>
      </c>
    </row>
    <row customHeight="1" ht="11.549999999999999">
      <c r="AN125" s="3637">
        <v>11</v>
      </c>
    </row>
    <row customHeight="1" ht="11.549999999999999">
      <c r="AN126" s="3637">
        <v>11</v>
      </c>
    </row>
    <row customHeight="1" ht="11.549999999999999">
      <c r="AN127" s="3637">
        <v>11</v>
      </c>
    </row>
    <row customHeight="1" ht="11.549999999999999">
      <c r="AN128" s="3637">
        <v>11</v>
      </c>
    </row>
    <row customHeight="1" ht="11.549999999999999">
      <c r="AN129" s="3637">
        <v>11</v>
      </c>
    </row>
    <row customHeight="1" ht="11.549999999999999">
      <c r="AN130" s="3637">
        <v>11</v>
      </c>
    </row>
    <row customHeight="1" ht="11.549999999999999">
      <c r="AN131" s="3637">
        <v>11</v>
      </c>
    </row>
    <row customHeight="1" ht="11.549999999999999">
      <c r="AN132" s="3637">
        <v>11</v>
      </c>
    </row>
    <row customHeight="1" ht="11.549999999999999">
      <c r="AN133" s="3637">
        <v>11</v>
      </c>
    </row>
    <row customHeight="1" ht="11.549999999999999">
      <c r="AN134" s="3637">
        <v>11</v>
      </c>
    </row>
    <row customHeight="1" ht="11.549999999999999">
      <c r="AN135" s="3637">
        <v>11</v>
      </c>
    </row>
    <row customHeight="1" ht="11.549999999999999">
      <c r="AN136" s="3637">
        <v>11</v>
      </c>
    </row>
    <row customHeight="1" ht="11.549999999999999">
      <c r="AN137" s="3637">
        <v>11</v>
      </c>
    </row>
    <row customHeight="1" ht="11.549999999999999">
      <c r="AN138" s="3637">
        <v>11</v>
      </c>
    </row>
    <row customHeight="1" ht="11.549999999999999">
      <c r="AN139" s="3637">
        <v>11</v>
      </c>
    </row>
    <row customHeight="1" ht="11.549999999999999">
      <c r="AN140" s="3637">
        <v>11</v>
      </c>
    </row>
    <row customHeight="1" ht="11.549999999999999">
      <c r="AN141" s="3637">
        <v>11</v>
      </c>
    </row>
    <row customHeight="1" ht="11.549999999999999">
      <c r="AN142" s="3637">
        <v>11</v>
      </c>
    </row>
    <row customHeight="1" ht="11.549999999999999">
      <c r="AN143" s="3637">
        <v>11</v>
      </c>
    </row>
    <row customHeight="1" ht="11.549999999999999">
      <c r="AN144" s="3637">
        <v>11</v>
      </c>
    </row>
    <row customHeight="1" ht="11.549999999999999">
      <c r="AN145" s="3637">
        <v>11</v>
      </c>
    </row>
    <row customHeight="1" ht="11.549999999999999">
      <c r="AN146" s="3637">
        <v>11</v>
      </c>
    </row>
    <row customHeight="1" ht="11.549999999999999">
      <c r="AN147" s="3637">
        <v>11</v>
      </c>
    </row>
    <row customHeight="1" ht="11.549999999999999">
      <c r="AN148" s="3637">
        <v>11</v>
      </c>
    </row>
    <row customHeight="1" ht="11.549999999999999">
      <c r="AN149" s="3637">
        <v>11</v>
      </c>
    </row>
    <row customHeight="1" ht="11.549999999999999">
      <c r="AN150" s="3637">
        <v>11</v>
      </c>
    </row>
    <row customHeight="1" ht="11.549999999999999">
      <c r="AN151" s="3637">
        <v>11</v>
      </c>
    </row>
    <row customHeight="1" ht="11.549999999999999">
      <c r="AN152" s="3637">
        <v>11</v>
      </c>
    </row>
    <row customHeight="1" ht="11.549999999999999">
      <c r="AN153" s="3637">
        <v>11</v>
      </c>
    </row>
    <row customHeight="1" ht="11.549999999999999">
      <c r="AN154" s="3637">
        <v>11</v>
      </c>
    </row>
    <row customHeight="1" ht="11.549999999999999">
      <c r="AN155" s="3637">
        <v>11</v>
      </c>
    </row>
    <row customHeight="1" ht="11.549999999999999">
      <c r="AN156" s="3637">
        <v>11</v>
      </c>
    </row>
    <row customHeight="1" ht="11.549999999999999">
      <c r="AN157" s="3637">
        <v>11</v>
      </c>
    </row>
    <row customHeight="1" ht="11.549999999999999">
      <c r="AN158" s="3637">
        <v>11</v>
      </c>
    </row>
    <row customHeight="1" ht="11.549999999999999">
      <c r="AN159" s="3637">
        <v>11</v>
      </c>
    </row>
    <row customHeight="1" ht="11.549999999999999">
      <c r="AN160" s="3637">
        <v>11</v>
      </c>
    </row>
    <row customHeight="1" ht="11.549999999999999">
      <c r="AN161" s="3637">
        <v>11</v>
      </c>
    </row>
    <row customHeight="1" ht="11.549999999999999">
      <c r="AN162" s="3637">
        <v>11</v>
      </c>
    </row>
    <row customHeight="1" ht="11.549999999999999">
      <c r="AN163" s="3637">
        <v>11</v>
      </c>
    </row>
    <row customHeight="1" ht="11.549999999999999">
      <c r="AN164" s="3637">
        <v>11</v>
      </c>
    </row>
    <row customHeight="1" ht="11.549999999999999">
      <c r="AN165" s="3637">
        <v>11</v>
      </c>
    </row>
    <row customHeight="1" ht="11.549999999999999">
      <c r="AN166" s="3637">
        <v>11</v>
      </c>
    </row>
    <row customHeight="1" ht="11.549999999999999">
      <c r="AN167" s="3637">
        <v>11</v>
      </c>
    </row>
    <row customHeight="1" ht="11.549999999999999">
      <c r="AN168" s="3637">
        <v>11</v>
      </c>
    </row>
    <row customHeight="1" ht="11.549999999999999">
      <c r="AN169" s="3637">
        <v>11</v>
      </c>
    </row>
    <row customHeight="1" ht="11.549999999999999">
      <c r="AN170" s="3637">
        <v>11</v>
      </c>
    </row>
    <row customHeight="1" ht="11.549999999999999">
      <c r="AN171" s="3637">
        <v>11</v>
      </c>
    </row>
    <row customHeight="1" ht="11.549999999999999">
      <c r="AN172" s="3637">
        <v>11</v>
      </c>
    </row>
    <row customHeight="1" ht="11.549999999999999">
      <c r="AN173" s="3637">
        <v>11</v>
      </c>
    </row>
    <row customHeight="1" ht="11.549999999999999">
      <c r="AN174" s="3637">
        <v>11</v>
      </c>
    </row>
    <row customHeight="1" ht="11.549999999999999">
      <c r="AN175" s="3637">
        <v>11</v>
      </c>
    </row>
    <row customHeight="1" ht="11.549999999999999">
      <c r="AN176" s="3637">
        <v>11</v>
      </c>
    </row>
    <row customHeight="1" ht="11.549999999999999">
      <c r="AN177" s="3637">
        <v>11</v>
      </c>
    </row>
    <row customHeight="1" ht="11.549999999999999">
      <c r="AN178" s="3637">
        <v>11</v>
      </c>
    </row>
    <row customHeight="1" ht="11.549999999999999">
      <c r="AN179" s="3637">
        <v>11</v>
      </c>
    </row>
    <row customHeight="1" ht="11.549999999999999">
      <c r="AN180" s="3637">
        <v>11</v>
      </c>
    </row>
    <row customHeight="1" ht="11.549999999999999">
      <c r="AN181" s="3637">
        <v>11</v>
      </c>
    </row>
    <row customHeight="1" ht="11.549999999999999">
      <c r="AN182" s="3637">
        <v>11</v>
      </c>
    </row>
    <row customHeight="1" ht="11.549999999999999">
      <c r="AN183" s="3637">
        <v>11</v>
      </c>
    </row>
    <row customHeight="1" ht="11.549999999999999">
      <c r="AN184" s="3637">
        <v>11</v>
      </c>
    </row>
    <row customHeight="1" ht="11.549999999999999">
      <c r="AN185" s="3637">
        <v>11</v>
      </c>
    </row>
    <row customHeight="1" ht="11.549999999999999">
      <c r="AN186" s="3637">
        <v>11</v>
      </c>
    </row>
    <row customHeight="1" ht="11.549999999999999">
      <c r="AN187" s="3637">
        <v>11</v>
      </c>
    </row>
    <row customHeight="1" ht="11.549999999999999">
      <c r="AN188" s="3637">
        <v>11</v>
      </c>
    </row>
    <row customHeight="1" ht="11.549999999999999">
      <c r="AN189" s="3637">
        <v>11</v>
      </c>
    </row>
    <row customHeight="1" ht="11.549999999999999">
      <c r="AN190" s="3637">
        <v>11</v>
      </c>
    </row>
    <row customHeight="1" ht="11.549999999999999">
      <c r="AN191" s="3637">
        <v>11</v>
      </c>
    </row>
    <row customHeight="1" ht="11.549999999999999">
      <c r="AN192" s="3637">
        <v>11</v>
      </c>
    </row>
    <row customHeight="1" ht="11.549999999999999">
      <c r="AN193" s="3637">
        <v>11</v>
      </c>
    </row>
    <row customHeight="1" ht="11.549999999999999">
      <c r="AN194" s="3637">
        <v>11</v>
      </c>
    </row>
    <row customHeight="1" ht="11.549999999999999">
      <c r="AN195" s="3637">
        <v>11</v>
      </c>
    </row>
    <row customHeight="1" ht="11.549999999999999">
      <c r="AN196" s="3637">
        <v>11</v>
      </c>
    </row>
    <row customHeight="1" ht="11.549999999999999">
      <c r="AN197" s="3637">
        <v>11</v>
      </c>
    </row>
    <row customHeight="1" ht="11.549999999999999">
      <c r="AN198" s="3637">
        <v>11</v>
      </c>
    </row>
    <row customHeight="1" ht="11.549999999999999">
      <c r="AN199" s="3637">
        <v>11</v>
      </c>
    </row>
    <row customHeight="1" ht="11.549999999999999">
      <c r="AN200" s="3637">
        <v>11</v>
      </c>
    </row>
    <row customHeight="1" ht="11.549999999999999">
      <c r="AN201" s="3637">
        <v>11</v>
      </c>
    </row>
    <row customHeight="1" ht="11.549999999999999">
      <c r="AN202" s="3637">
        <v>11</v>
      </c>
    </row>
    <row customHeight="1" ht="11.549999999999999">
      <c r="AN203" s="3432">
        <v>11</v>
      </c>
    </row>
    <row customHeight="1" ht="11.549999999999999">
      <c r="AN204" s="3432">
        <v>11</v>
      </c>
    </row>
    <row customHeight="1" ht="11.549999999999999">
      <c r="AN205" s="3432">
        <v>11</v>
      </c>
    </row>
    <row customHeight="1" ht="11.549999999999999">
      <c r="AN206" s="3432">
        <v>11</v>
      </c>
    </row>
    <row customHeight="1" ht="11.549999999999999">
      <c r="AN207" s="3432">
        <v>11</v>
      </c>
    </row>
    <row customHeight="1" ht="11.549999999999999">
      <c r="AN208" s="3432">
        <v>11</v>
      </c>
    </row>
    <row customHeight="1" ht="11.549999999999999">
      <c r="AN209" s="3432">
        <v>11</v>
      </c>
    </row>
    <row customHeight="1" ht="11.549999999999999">
      <c r="AN210" s="3432">
        <v>11</v>
      </c>
    </row>
    <row customHeight="1" ht="11.549999999999999">
      <c r="AN211" s="3432">
        <v>11</v>
      </c>
    </row>
    <row customHeight="1" ht="11.549999999999999">
      <c r="AN212" s="3432">
        <v>11</v>
      </c>
    </row>
    <row customHeight="1" ht="11.549999999999999">
      <c r="AN213" s="3432">
        <v>11</v>
      </c>
    </row>
    <row customHeight="1" ht="11.549999999999999">
      <c r="AN214" s="3432">
        <v>11</v>
      </c>
    </row>
    <row customHeight="1" ht="11.549999999999999">
      <c r="AN215" s="3432">
        <v>11</v>
      </c>
    </row>
    <row customHeight="1" ht="11.549999999999999">
      <c r="AN216" s="3432">
        <v>11</v>
      </c>
    </row>
    <row customHeight="1" ht="11.25" hidden="1">
      <c r="A217" s="1093" t="s">
        <v>80</v>
      </c>
      <c r="B217" s="3449">
        <v>0</v>
      </c>
      <c r="C217" s="3473">
        <v>0</v>
      </c>
      <c r="D217" s="3432">
        <v>3</v>
      </c>
      <c r="E217" s="3432">
        <v>7</v>
      </c>
      <c r="F217" s="3432">
        <v>56</v>
      </c>
      <c r="G217" s="3432">
        <v>10</v>
      </c>
      <c r="H217" s="3432">
        <v>0</v>
      </c>
      <c r="I217" s="3432">
        <v>40</v>
      </c>
      <c r="J217" s="3432">
        <v>0</v>
      </c>
      <c r="K217" s="3432">
        <v>0</v>
      </c>
      <c r="L217" s="3432">
        <v>0</v>
      </c>
      <c r="M217" s="3432">
        <v>0</v>
      </c>
      <c r="N217" s="3432">
        <v>0</v>
      </c>
      <c r="O217" s="3432">
        <v>0</v>
      </c>
      <c r="P217" s="3432">
        <v>0</v>
      </c>
      <c r="Q217" s="3432">
        <v>0</v>
      </c>
      <c r="R217" s="3432">
        <v>102</v>
      </c>
      <c r="S217" s="3449">
        <v>9</v>
      </c>
      <c r="T217" s="3473">
        <v>5</v>
      </c>
      <c r="U217" s="3473">
        <v>3</v>
      </c>
      <c r="V217" s="3449">
        <v>3</v>
      </c>
      <c r="W217" s="3449">
        <v>3</v>
      </c>
      <c r="X217" s="3449">
        <v>3</v>
      </c>
      <c r="Y217" s="3449">
        <v>3</v>
      </c>
      <c r="Z217" s="3473">
        <v>10</v>
      </c>
      <c r="AA217" s="3449">
        <v>34</v>
      </c>
      <c r="AB217" s="3449">
        <v>9</v>
      </c>
      <c r="AC217" s="3972">
        <v>8</v>
      </c>
      <c r="AD217" s="3449">
        <v>8</v>
      </c>
      <c r="AE217" s="3449">
        <v>8</v>
      </c>
      <c r="AF217" s="3449">
        <v>8</v>
      </c>
      <c r="AG217" s="3449">
        <v>8</v>
      </c>
      <c r="AH217" s="3449">
        <v>8</v>
      </c>
      <c r="AI217" s="3430">
        <v>8</v>
      </c>
      <c r="AJ217" s="3430">
        <v>8</v>
      </c>
      <c r="AK217" s="3430">
        <v>8</v>
      </c>
      <c r="AL217" s="3430">
        <v>8</v>
      </c>
      <c r="AM217" s="3430">
        <v>8</v>
      </c>
      <c r="AN217" s="3432">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B8509-5E83-F206-9BF9-EE5FE0662C4C}" mc:Ignorable="x14ac xr xr2 xr3">
  <sheetPr>
    <tabColor theme="9" tint="-0.25"/>
  </sheetPr>
  <dimension ref="A1:AN210"/>
  <sheetViews>
    <sheetView topLeftCell="A1" showGridLines="0" zoomScale="90" workbookViewId="0">
      <selection activeCell="Q9" sqref="Q9"/>
    </sheetView>
  </sheetViews>
  <sheetFormatPr defaultColWidth="9.140625" customHeight="1" defaultRowHeight="11.25"/>
  <cols>
    <col min="1" max="1" style="7348" width="10.7109375" hidden="1" customWidth="1"/>
    <col min="2" max="2" style="7348" width="16.8515625" hidden="1" customWidth="1"/>
    <col min="3" max="3" style="7348" width="5.57421875" hidden="1" customWidth="1"/>
    <col min="4" max="4" style="7348" width="3.00390625" customWidth="1"/>
    <col min="5" max="5" style="7348" width="7.00390625" customWidth="1"/>
    <col min="6" max="6" style="7348" width="54.00390625" customWidth="1"/>
    <col min="7" max="7" style="7348" width="10.00390625" customWidth="1"/>
    <col min="8" max="8" style="7348" width="40.7109375" hidden="1" customWidth="1"/>
    <col min="9" max="9" style="7348" width="40.00390625" customWidth="1"/>
    <col min="10" max="17" style="7348" width="40.7109375" customWidth="1"/>
    <col min="18" max="18" style="7348" width="102.00390625" customWidth="1"/>
    <col min="19" max="19" style="7348" width="9.00390625" customWidth="1"/>
    <col min="20" max="20" style="7348" width="5.00390625" customWidth="1"/>
    <col min="21" max="25" style="7348" width="3.00390625" customWidth="1"/>
    <col min="26" max="26" style="7348" width="10.00390625" customWidth="1"/>
    <col min="27" max="27" style="7348" width="34.00390625" customWidth="1"/>
    <col min="28" max="28" style="7348" width="9.00390625" customWidth="1"/>
    <col min="29" max="39" style="7348" width="8.00390625" customWidth="1"/>
    <col min="40" max="40" style="7348" width="9.140625" hidden="1"/>
  </cols>
  <sheetData>
    <row customHeight="1" ht="22.5" hidden="1">
      <c r="H1" s="3449">
        <v>4</v>
      </c>
      <c r="I1" s="3449">
        <v>4</v>
      </c>
      <c r="J1" s="3449">
        <v>4</v>
      </c>
      <c r="K1" s="3449">
        <v>4</v>
      </c>
      <c r="L1" s="3449">
        <v>4</v>
      </c>
      <c r="M1" s="3449">
        <v>4</v>
      </c>
      <c r="N1" s="3449">
        <v>4</v>
      </c>
      <c r="O1" s="3449">
        <v>4</v>
      </c>
      <c r="P1" s="3449">
        <v>4</v>
      </c>
      <c r="Q1" s="3449">
        <v>4</v>
      </c>
      <c r="AN1" s="3449" t="s">
        <v>14</v>
      </c>
    </row>
    <row customHeight="1" ht="22.5" hidden="1">
      <c r="E2" s="3480"/>
      <c r="F2" s="157"/>
      <c r="G2" s="3480" t="s">
        <v>567</v>
      </c>
      <c r="H2" s="838"/>
      <c r="I2" s="838"/>
      <c r="J2" s="838"/>
      <c r="K2" s="838"/>
      <c r="L2" s="838"/>
      <c r="M2" s="838"/>
      <c r="N2" s="838"/>
      <c r="O2" s="838"/>
      <c r="P2" s="838"/>
      <c r="Q2" s="838"/>
      <c r="R2" s="3951" t="s">
        <v>570</v>
      </c>
      <c r="AN2" s="3449">
        <v>0</v>
      </c>
    </row>
    <row customHeight="1" ht="11.25" hidden="1">
      <c r="AN3" s="3432">
        <v>0</v>
      </c>
    </row>
    <row customHeight="1" ht="11.25" hidden="1">
      <c r="R4" s="3430">
        <v>4</v>
      </c>
      <c r="AN4" s="3430">
        <v>0</v>
      </c>
    </row>
    <row customHeight="1" ht="11.549999999999999">
      <c r="AN5" s="3432">
        <v>11</v>
      </c>
    </row>
    <row customHeight="1" ht="33.75">
      <c r="E6" s="3646" t="s">
        <v>797</v>
      </c>
      <c r="F6" s="3646"/>
      <c r="G6" s="3646"/>
      <c r="H6" s="3646"/>
      <c r="I6" s="3646"/>
      <c r="J6" s="3646"/>
      <c r="K6" s="3646"/>
      <c r="L6" s="3646"/>
      <c r="M6" s="3646"/>
      <c r="N6" s="3646"/>
      <c r="O6" s="3646"/>
      <c r="P6" s="3646"/>
      <c r="Q6" s="3646"/>
      <c r="AN6" s="3432">
        <v>32</v>
      </c>
    </row>
    <row customHeight="1" ht="25.2">
      <c r="E7" s="3554" t="str">
        <f>IF(org=0,"Не определено",org)</f>
        <v>ООО "ТеплоЭлектроГенерирующая Компания"</v>
      </c>
      <c r="F7" s="3554"/>
      <c r="G7" s="3554"/>
      <c r="H7" s="3554"/>
      <c r="I7" s="3554"/>
      <c r="J7" s="3554"/>
      <c r="K7" s="3554"/>
      <c r="L7" s="3554"/>
      <c r="M7" s="3554"/>
      <c r="N7" s="3554"/>
      <c r="O7" s="3554"/>
      <c r="P7" s="3554"/>
      <c r="Q7" s="3554"/>
      <c r="AN7" s="3432">
        <v>24</v>
      </c>
    </row>
    <row customHeight="1" ht="11.549999999999999">
      <c r="J8" s="3399" t="s">
        <v>22</v>
      </c>
      <c r="K8" s="3399" t="s">
        <v>22</v>
      </c>
      <c r="L8" s="3399" t="s">
        <v>22</v>
      </c>
      <c r="M8" s="3399" t="s">
        <v>22</v>
      </c>
      <c r="N8" s="3399" t="s">
        <v>22</v>
      </c>
      <c r="O8" s="3399" t="s">
        <v>22</v>
      </c>
      <c r="P8" s="3399" t="s">
        <v>22</v>
      </c>
      <c r="Q8" s="3399" t="s">
        <v>22</v>
      </c>
      <c r="AN8" s="3432">
        <v>11</v>
      </c>
    </row>
    <row customHeight="1" ht="1.05">
      <c r="H9" s="3953"/>
      <c r="I9" s="3953" t="s">
        <v>116</v>
      </c>
      <c r="J9" s="3953" t="s">
        <v>121</v>
      </c>
      <c r="K9" s="3953" t="s">
        <v>123</v>
      </c>
      <c r="L9" s="3953" t="s">
        <v>125</v>
      </c>
      <c r="M9" s="3953" t="s">
        <v>127</v>
      </c>
      <c r="N9" s="3953" t="s">
        <v>129</v>
      </c>
      <c r="O9" s="3953" t="s">
        <v>131</v>
      </c>
      <c r="P9" s="3953" t="s">
        <v>133</v>
      </c>
      <c r="Q9" s="3953" t="s">
        <v>136</v>
      </c>
      <c r="AN9" s="3473">
        <v>1</v>
      </c>
    </row>
    <row customHeight="1" ht="11.549999999999999">
      <c r="E10" s="3924"/>
      <c r="F10" s="3925" t="s">
        <v>103</v>
      </c>
      <c r="G10" s="3926"/>
      <c r="H10" s="3954" t="str">
        <f>IF(H9="","",INDEX(DIFFERENTIATION_UNMERGE_VD,MATCH(H9,DIFFERENTIATION_ID_DIFF,0)))</f>
        <v/>
      </c>
      <c r="I10" s="3954" t="str">
        <f>IF(I9="","",INDEX(DIFFERENTIATION_UNMERGE_VD,MATCH(I9,DIFFERENTIATION_ID_DIFF,0)))</f>
        <v>Горячее водоснабжение</v>
      </c>
      <c r="J10" s="3954" t="str">
        <f>IF(J9="","",INDEX(DIFFERENTIATION_UNMERGE_VD,MATCH(J9,DIFFERENTIATION_ID_DIFF,0)))</f>
        <v>Горячее водоснабжение</v>
      </c>
      <c r="K10" s="3954" t="str">
        <f>IF(K9="","",INDEX(DIFFERENTIATION_UNMERGE_VD,MATCH(K9,DIFFERENTIATION_ID_DIFF,0)))</f>
        <v>Горячее водоснабжение</v>
      </c>
      <c r="L10" s="3954" t="str">
        <f>IF(L9="","",INDEX(DIFFERENTIATION_UNMERGE_VD,MATCH(L9,DIFFERENTIATION_ID_DIFF,0)))</f>
        <v>Горячее водоснабжение</v>
      </c>
      <c r="M10" s="3954" t="str">
        <f>IF(M9="","",INDEX(DIFFERENTIATION_UNMERGE_VD,MATCH(M9,DIFFERENTIATION_ID_DIFF,0)))</f>
        <v>Горячее водоснабжение</v>
      </c>
      <c r="N10" s="3954" t="str">
        <f>IF(N9="","",INDEX(DIFFERENTIATION_UNMERGE_VD,MATCH(N9,DIFFERENTIATION_ID_DIFF,0)))</f>
        <v>Горячее водоснабжение</v>
      </c>
      <c r="O10" s="3954" t="str">
        <f>IF(O9="","",INDEX(DIFFERENTIATION_UNMERGE_VD,MATCH(O9,DIFFERENTIATION_ID_DIFF,0)))</f>
        <v>Горячее водоснабжение</v>
      </c>
      <c r="P10" s="3954" t="str">
        <f>IF(P9="","",INDEX(DIFFERENTIATION_UNMERGE_VD,MATCH(P9,DIFFERENTIATION_ID_DIFF,0)))</f>
        <v>Горячее водоснабжение</v>
      </c>
      <c r="Q10" s="3954" t="str">
        <f>IF(Q9="","",INDEX(DIFFERENTIATION_UNMERGE_VD,MATCH(Q9,DIFFERENTIATION_ID_DIFF,0)))</f>
        <v>Горячее водоснабжение</v>
      </c>
      <c r="R10" s="3480"/>
      <c r="AN10" s="3432">
        <v>11</v>
      </c>
    </row>
    <row customHeight="1" ht="11.549999999999999">
      <c r="E11" s="3924"/>
      <c r="F11" s="3925" t="s">
        <v>579</v>
      </c>
      <c r="G11" s="3926"/>
      <c r="H11" s="3954" t="str">
        <f>IF(H9="","",INDEX(DIFFERENTIATION_UNMERGE_AREA,MATCH(H9,DIFFERENTIATION_ID_DIFF,0)))</f>
        <v/>
      </c>
      <c r="I11" s="3954" t="str">
        <f>IF(I9="","",INDEX(DIFFERENTIATION_UNMERGE_AREA,MATCH(I9,DIFFERENTIATION_ID_DIFF,0)))</f>
        <v>Территория 1</v>
      </c>
      <c r="J11" s="3954" t="str">
        <f>IF(J9="","",INDEX(DIFFERENTIATION_UNMERGE_AREA,MATCH(J9,DIFFERENTIATION_ID_DIFF,0)))</f>
        <v>Территория 1</v>
      </c>
      <c r="K11" s="3954" t="str">
        <f>IF(K9="","",INDEX(DIFFERENTIATION_UNMERGE_AREA,MATCH(K9,DIFFERENTIATION_ID_DIFF,0)))</f>
        <v>Территория 1</v>
      </c>
      <c r="L11" s="3954" t="str">
        <f>IF(L9="","",INDEX(DIFFERENTIATION_UNMERGE_AREA,MATCH(L9,DIFFERENTIATION_ID_DIFF,0)))</f>
        <v>Территория 1</v>
      </c>
      <c r="M11" s="3954" t="str">
        <f>IF(M9="","",INDEX(DIFFERENTIATION_UNMERGE_AREA,MATCH(M9,DIFFERENTIATION_ID_DIFF,0)))</f>
        <v>Территория 1</v>
      </c>
      <c r="N11" s="3954" t="str">
        <f>IF(N9="","",INDEX(DIFFERENTIATION_UNMERGE_AREA,MATCH(N9,DIFFERENTIATION_ID_DIFF,0)))</f>
        <v>Территория 1</v>
      </c>
      <c r="O11" s="3954" t="str">
        <f>IF(O9="","",INDEX(DIFFERENTIATION_UNMERGE_AREA,MATCH(O9,DIFFERENTIATION_ID_DIFF,0)))</f>
        <v>Территория 1</v>
      </c>
      <c r="P11" s="3954" t="str">
        <f>IF(P9="","",INDEX(DIFFERENTIATION_UNMERGE_AREA,MATCH(P9,DIFFERENTIATION_ID_DIFF,0)))</f>
        <v>Территория 1</v>
      </c>
      <c r="Q11" s="3954" t="str">
        <f>IF(Q9="","",INDEX(DIFFERENTIATION_UNMERGE_AREA,MATCH(Q9,DIFFERENTIATION_ID_DIFF,0)))</f>
        <v>Территория 1</v>
      </c>
      <c r="R11" s="3480"/>
      <c r="AN11" s="3432">
        <v>11</v>
      </c>
    </row>
    <row customHeight="1" ht="11.25" hidden="1">
      <c r="E12" s="3975"/>
      <c r="F12" s="3976" t="s">
        <v>580</v>
      </c>
      <c r="G12" s="3977"/>
      <c r="H12" s="3978" t="str">
        <f>IF(H9="","",INDEX(DIFFERENTIATION_UNMERGE_SYSTEM,MATCH(H9,DIFFERENTIATION_ID_DIFF,0)))</f>
        <v/>
      </c>
      <c r="I12" s="3978" t="str">
        <f>IF(I9="","",INDEX(DIFFERENTIATION_UNMERGE_SYSTEM,MATCH(I9,DIFFERENTIATION_ID_DIFF,0)))</f>
        <v>г. Саратов, ул.Деловая, 22, п. Юбилейный
</v>
      </c>
      <c r="J12" s="3978" t="str">
        <f>IF(J9="","",INDEX(DIFFERENTIATION_UNMERGE_SYSTEM,MATCH(J9,DIFFERENTIATION_ID_DIFF,0)))</f>
        <v>г. Саратов, ул. Вавилова,8/26 А
</v>
      </c>
      <c r="K12" s="3978" t="str">
        <f>IF(K9="","",INDEX(DIFFERENTIATION_UNMERGE_SYSTEM,MATCH(K9,DIFFERENTIATION_ID_DIFF,0)))</f>
        <v>г. Саратов, пр. 50 лет Октября, 60, 74, 108, ЦТП Волочаевский пр., 5, ЦТП Соколовая, 145/153
</v>
      </c>
      <c r="L12" s="3978" t="str">
        <f>IF(L9="","",INDEX(DIFFERENTIATION_UNMERGE_SYSTEM,MATCH(L9,DIFFERENTIATION_ID_DIFF,0)))</f>
        <v>г. Саратов, ул. Шелковичная, 186, ул. Шелковичная, 178, ул. Шелковичная, 155/161, ул. 2-я Садовая, 106 б.
</v>
      </c>
      <c r="M12" s="3978" t="str">
        <f>IF(M9="","",INDEX(DIFFERENTIATION_UNMERGE_SYSTEM,MATCH(M9,DIFFERENTIATION_ID_DIFF,0)))</f>
        <v>г. Саратов, ул. Ломоносова, 1
</v>
      </c>
      <c r="N12" s="3978" t="str">
        <f>IF(N9="","",INDEX(DIFFERENTIATION_UNMERGE_SYSTEM,MATCH(N9,DIFFERENTIATION_ID_DIFF,0)))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O12" s="3978" t="str">
        <f>IF(O9="","",INDEX(DIFFERENTIATION_UNMERGE_SYSTEM,MATCH(O9,DIFFERENTIATION_ID_DIFF,0)))</f>
        <v>г. Саратов, ул. Огородная, 77
</v>
      </c>
      <c r="P12" s="3978" t="str">
        <f>IF(P9="","",INDEX(DIFFERENTIATION_UNMERGE_SYSTEM,MATCH(P9,DIFFERENTIATION_ID_DIFF,0)))</f>
        <v>г. Саратов, ул. Танкистов, 89
</v>
      </c>
      <c r="Q12" s="3978" t="str">
        <f>IF(Q9="","",INDEX(DIFFERENTIATION_UNMERGE_SYSTEM,MATCH(Q9,DIFFERENTIATION_ID_DIFF,0)))</f>
        <v>г. Саратов, ул. Политехническая, 47
</v>
      </c>
      <c r="R12" s="3480"/>
      <c r="AN12" s="3432">
        <v>0</v>
      </c>
    </row>
    <row customHeight="1" ht="11.549999999999999">
      <c r="E13" s="3929" t="s">
        <v>315</v>
      </c>
      <c r="F13" s="3930"/>
      <c r="G13" s="3930"/>
      <c r="H13" s="3925"/>
      <c r="I13" s="3925"/>
      <c r="J13" s="3925"/>
      <c r="K13" s="3925"/>
      <c r="L13" s="3925"/>
      <c r="M13" s="3925"/>
      <c r="N13" s="3925"/>
      <c r="O13" s="3925"/>
      <c r="P13" s="3925"/>
      <c r="Q13" s="3925"/>
      <c r="R13" s="3480"/>
      <c r="AN13" s="3432">
        <v>11</v>
      </c>
    </row>
    <row customHeight="1" ht="24">
      <c r="E14" s="3480" t="s">
        <v>86</v>
      </c>
      <c r="F14" s="3480" t="s">
        <v>317</v>
      </c>
      <c r="G14" s="3480" t="s">
        <v>581</v>
      </c>
      <c r="H14" s="3480" t="s">
        <v>318</v>
      </c>
      <c r="I14" s="3480" t="s">
        <v>318</v>
      </c>
      <c r="J14" s="3480" t="s">
        <v>318</v>
      </c>
      <c r="K14" s="3480" t="s">
        <v>318</v>
      </c>
      <c r="L14" s="3480" t="s">
        <v>318</v>
      </c>
      <c r="M14" s="3480" t="s">
        <v>318</v>
      </c>
      <c r="N14" s="3480" t="s">
        <v>318</v>
      </c>
      <c r="O14" s="3480" t="s">
        <v>318</v>
      </c>
      <c r="P14" s="3480" t="s">
        <v>318</v>
      </c>
      <c r="Q14" s="3480" t="s">
        <v>318</v>
      </c>
      <c r="R14" s="3480"/>
      <c r="AN14" s="3432">
        <v>23</v>
      </c>
    </row>
    <row customHeight="1" ht="19.95">
      <c r="E15" s="1106" t="s">
        <v>107</v>
      </c>
      <c r="F15" s="3563" t="s">
        <v>798</v>
      </c>
      <c r="G15" s="3480" t="s">
        <v>567</v>
      </c>
      <c r="H15" s="1057"/>
      <c r="I15" s="1057"/>
      <c r="J15" s="1057"/>
      <c r="K15" s="1057"/>
      <c r="L15" s="1057"/>
      <c r="M15" s="1057"/>
      <c r="N15" s="1057"/>
      <c r="O15" s="1057"/>
      <c r="P15" s="1057"/>
      <c r="Q15" s="1057"/>
      <c r="R15" s="3764" t="s">
        <v>799</v>
      </c>
      <c r="S15" s="3979" t="s">
        <v>654</v>
      </c>
      <c r="AN15" s="3432">
        <v>19</v>
      </c>
    </row>
    <row customHeight="1" ht="24">
      <c r="E16" s="1106" t="s">
        <v>108</v>
      </c>
      <c r="F16" s="3567" t="s">
        <v>800</v>
      </c>
      <c r="G16" s="3480" t="s">
        <v>567</v>
      </c>
      <c r="H16" s="694">
        <f>SUM(H17,H20:H27)</f>
        <v>0</v>
      </c>
      <c r="I16" s="694">
        <f>SUM(I17,I20:I27)</f>
        <v>0</v>
      </c>
      <c r="J16" s="694">
        <f>SUM(J17,J20:J27)</f>
        <v>0</v>
      </c>
      <c r="K16" s="694">
        <f>SUM(K17,K20:K27)</f>
        <v>0</v>
      </c>
      <c r="L16" s="694">
        <f>SUM(L17,L20:L27)</f>
        <v>0</v>
      </c>
      <c r="M16" s="694">
        <f>SUM(M17,M20:M27)</f>
        <v>0</v>
      </c>
      <c r="N16" s="694">
        <f>SUM(N17,N20:N27)</f>
        <v>0</v>
      </c>
      <c r="O16" s="694">
        <f>SUM(O17,O20:O27)</f>
        <v>0</v>
      </c>
      <c r="P16" s="694">
        <f>SUM(P17,P20:P27)</f>
        <v>0</v>
      </c>
      <c r="Q16" s="694">
        <f>SUM(Q17,Q20:Q27)</f>
        <v>0</v>
      </c>
      <c r="R16" s="3764" t="s">
        <v>801</v>
      </c>
      <c r="S16" s="3979" t="s">
        <v>654</v>
      </c>
      <c r="AN16" s="3432">
        <v>23</v>
      </c>
    </row>
    <row customHeight="1" ht="35.699999999999996">
      <c r="E17" s="1108" t="s">
        <v>732</v>
      </c>
      <c r="F17" s="347" t="s">
        <v>802</v>
      </c>
      <c r="G17" s="3436" t="s">
        <v>567</v>
      </c>
      <c r="H17" s="1057"/>
      <c r="I17" s="1057"/>
      <c r="J17" s="1057"/>
      <c r="K17" s="1057"/>
      <c r="L17" s="1057"/>
      <c r="M17" s="1057"/>
      <c r="N17" s="1057"/>
      <c r="O17" s="1057"/>
      <c r="P17" s="1057"/>
      <c r="Q17" s="1057"/>
      <c r="R17" s="3764" t="s">
        <v>803</v>
      </c>
      <c r="AN17" s="3432">
        <v>34</v>
      </c>
    </row>
    <row customHeight="1" ht="19.95">
      <c r="E18" s="1108" t="s">
        <v>735</v>
      </c>
      <c r="F18" s="1112" t="s">
        <v>804</v>
      </c>
      <c r="G18" s="3436" t="s">
        <v>567</v>
      </c>
      <c r="H18" s="1057"/>
      <c r="I18" s="1057"/>
      <c r="J18" s="1057"/>
      <c r="K18" s="1057"/>
      <c r="L18" s="1057"/>
      <c r="M18" s="1057"/>
      <c r="N18" s="1057"/>
      <c r="O18" s="1057"/>
      <c r="P18" s="1057"/>
      <c r="Q18" s="1057"/>
      <c r="R18" s="3764"/>
      <c r="AN18" s="3432">
        <v>19</v>
      </c>
    </row>
    <row customHeight="1" ht="24">
      <c r="E19" s="1108" t="s">
        <v>738</v>
      </c>
      <c r="F19" s="1112" t="s">
        <v>805</v>
      </c>
      <c r="G19" s="3436" t="s">
        <v>567</v>
      </c>
      <c r="H19" s="1057"/>
      <c r="I19" s="1057"/>
      <c r="J19" s="1057"/>
      <c r="K19" s="1057"/>
      <c r="L19" s="1057"/>
      <c r="M19" s="1057"/>
      <c r="N19" s="1057"/>
      <c r="O19" s="1057"/>
      <c r="P19" s="1057"/>
      <c r="Q19" s="1057"/>
      <c r="R19" s="3764"/>
      <c r="AN19" s="3432">
        <v>23</v>
      </c>
    </row>
    <row customHeight="1" ht="35.699999999999996">
      <c r="E20" s="1108" t="s">
        <v>322</v>
      </c>
      <c r="F20" s="347" t="s">
        <v>806</v>
      </c>
      <c r="G20" s="3436" t="s">
        <v>567</v>
      </c>
      <c r="H20" s="1057"/>
      <c r="I20" s="1057"/>
      <c r="J20" s="1057"/>
      <c r="K20" s="1057"/>
      <c r="L20" s="1057"/>
      <c r="M20" s="1057"/>
      <c r="N20" s="1057"/>
      <c r="O20" s="1057"/>
      <c r="P20" s="1057"/>
      <c r="Q20" s="1057"/>
      <c r="R20" s="3764"/>
      <c r="AN20" s="3432">
        <v>34</v>
      </c>
    </row>
    <row customHeight="1" ht="48.29999999999999">
      <c r="E21" s="1108" t="s">
        <v>325</v>
      </c>
      <c r="F21" s="347" t="s">
        <v>807</v>
      </c>
      <c r="G21" s="3436" t="s">
        <v>567</v>
      </c>
      <c r="H21" s="1057"/>
      <c r="I21" s="1057"/>
      <c r="J21" s="1057"/>
      <c r="K21" s="1057"/>
      <c r="L21" s="1057"/>
      <c r="M21" s="1057"/>
      <c r="N21" s="1057"/>
      <c r="O21" s="1057"/>
      <c r="P21" s="1057"/>
      <c r="Q21" s="1057"/>
      <c r="R21" s="3764"/>
      <c r="AN21" s="3432">
        <v>46</v>
      </c>
    </row>
    <row customHeight="1" ht="60">
      <c r="E22" s="1108" t="s">
        <v>752</v>
      </c>
      <c r="F22" s="347" t="s">
        <v>808</v>
      </c>
      <c r="G22" s="3436" t="s">
        <v>567</v>
      </c>
      <c r="H22" s="1057"/>
      <c r="I22" s="1057"/>
      <c r="J22" s="1057"/>
      <c r="K22" s="1057"/>
      <c r="L22" s="1057"/>
      <c r="M22" s="1057"/>
      <c r="N22" s="1057"/>
      <c r="O22" s="1057"/>
      <c r="P22" s="1057"/>
      <c r="Q22" s="1057"/>
      <c r="R22" s="3764"/>
      <c r="AN22" s="3432">
        <v>57</v>
      </c>
    </row>
    <row customHeight="1" ht="35.699999999999996">
      <c r="E23" s="1108" t="s">
        <v>759</v>
      </c>
      <c r="F23" s="347" t="s">
        <v>809</v>
      </c>
      <c r="G23" s="3436" t="s">
        <v>567</v>
      </c>
      <c r="H23" s="1057"/>
      <c r="I23" s="1057"/>
      <c r="J23" s="1057"/>
      <c r="K23" s="1057"/>
      <c r="L23" s="1057"/>
      <c r="M23" s="1057"/>
      <c r="N23" s="1057"/>
      <c r="O23" s="1057"/>
      <c r="P23" s="1057"/>
      <c r="Q23" s="1057"/>
      <c r="R23" s="3764"/>
      <c r="AN23" s="3432">
        <v>34</v>
      </c>
    </row>
    <row customHeight="1" ht="35.699999999999996">
      <c r="E24" s="1108" t="s">
        <v>761</v>
      </c>
      <c r="F24" s="347" t="s">
        <v>810</v>
      </c>
      <c r="G24" s="3436" t="s">
        <v>567</v>
      </c>
      <c r="H24" s="1057"/>
      <c r="I24" s="1057"/>
      <c r="J24" s="1057"/>
      <c r="K24" s="1057"/>
      <c r="L24" s="1057"/>
      <c r="M24" s="1057"/>
      <c r="N24" s="1057"/>
      <c r="O24" s="1057"/>
      <c r="P24" s="1057"/>
      <c r="Q24" s="1057"/>
      <c r="R24" s="3764"/>
      <c r="AN24" s="3432">
        <v>34</v>
      </c>
    </row>
    <row customHeight="1" ht="24">
      <c r="E25" s="1108" t="s">
        <v>763</v>
      </c>
      <c r="F25" s="347" t="s">
        <v>811</v>
      </c>
      <c r="G25" s="3436" t="s">
        <v>567</v>
      </c>
      <c r="H25" s="1057"/>
      <c r="I25" s="1057"/>
      <c r="J25" s="1057"/>
      <c r="K25" s="1057"/>
      <c r="L25" s="1057"/>
      <c r="M25" s="1057"/>
      <c r="N25" s="1057"/>
      <c r="O25" s="1057"/>
      <c r="P25" s="1057"/>
      <c r="Q25" s="1057"/>
      <c r="R25" s="3764"/>
      <c r="AN25" s="3432">
        <v>23</v>
      </c>
    </row>
    <row customHeight="1" ht="76.5">
      <c r="E26" s="1108" t="s">
        <v>765</v>
      </c>
      <c r="F26" s="347" t="s">
        <v>812</v>
      </c>
      <c r="G26" s="3436" t="s">
        <v>567</v>
      </c>
      <c r="H26" s="1057"/>
      <c r="I26" s="1057"/>
      <c r="J26" s="1057"/>
      <c r="K26" s="1057"/>
      <c r="L26" s="1057"/>
      <c r="M26" s="1057"/>
      <c r="N26" s="1057"/>
      <c r="O26" s="1057"/>
      <c r="P26" s="1057"/>
      <c r="Q26" s="1057"/>
      <c r="R26" s="3764"/>
      <c r="AN26" s="3432">
        <v>73</v>
      </c>
    </row>
    <row customHeight="1" ht="35.699999999999996">
      <c r="E27" s="1113" t="s">
        <v>769</v>
      </c>
      <c r="F27" s="3491" t="s">
        <v>813</v>
      </c>
      <c r="G27" s="3558" t="s">
        <v>567</v>
      </c>
      <c r="H27" s="1072">
        <f>SUM(H28:H29)</f>
        <v>0</v>
      </c>
      <c r="I27" s="1072">
        <f>SUM(I28:I29)</f>
        <v>0</v>
      </c>
      <c r="J27" s="1072">
        <f>SUM(J28:J29)</f>
        <v>0</v>
      </c>
      <c r="K27" s="1072">
        <f>SUM(K28:K29)</f>
        <v>0</v>
      </c>
      <c r="L27" s="1072">
        <f>SUM(L28:L29)</f>
        <v>0</v>
      </c>
      <c r="M27" s="1072">
        <f>SUM(M28:M29)</f>
        <v>0</v>
      </c>
      <c r="N27" s="1072">
        <f>SUM(N28:N29)</f>
        <v>0</v>
      </c>
      <c r="O27" s="1072">
        <f>SUM(O28:O29)</f>
        <v>0</v>
      </c>
      <c r="P27" s="1072">
        <f>SUM(P28:P29)</f>
        <v>0</v>
      </c>
      <c r="Q27" s="1072">
        <f>SUM(Q28:Q29)</f>
        <v>0</v>
      </c>
      <c r="R27" s="3764" t="s">
        <v>767</v>
      </c>
      <c r="AN27" s="3449">
        <v>34</v>
      </c>
    </row>
    <row customHeight="1" ht="1.05">
      <c r="E28" s="3481" t="str">
        <f>E27&amp;".0"</f>
        <v>2.9.0</v>
      </c>
      <c r="F28" s="3963"/>
      <c r="G28" s="3481"/>
      <c r="H28" s="1074"/>
      <c r="I28" s="1074"/>
      <c r="J28" s="1074"/>
      <c r="K28" s="1074"/>
      <c r="L28" s="1074"/>
      <c r="M28" s="1074"/>
      <c r="N28" s="1074"/>
      <c r="O28" s="1074"/>
      <c r="P28" s="1074"/>
      <c r="Q28" s="1074"/>
      <c r="R28" s="3964"/>
      <c r="AN28" s="3473">
        <v>1</v>
      </c>
    </row>
    <row customHeight="1" ht="19.95">
      <c r="E29" s="1067"/>
      <c r="F29" s="1111" t="s">
        <v>592</v>
      </c>
      <c r="G29" s="3727"/>
      <c r="H29" s="3935"/>
      <c r="I29" s="3935"/>
      <c r="J29" s="3935"/>
      <c r="K29" s="3935"/>
      <c r="L29" s="3935"/>
      <c r="M29" s="3935"/>
      <c r="N29" s="3935"/>
      <c r="O29" s="3935"/>
      <c r="P29" s="3935"/>
      <c r="Q29" s="3935"/>
      <c r="R29" s="3793" t="s">
        <v>768</v>
      </c>
      <c r="AN29" s="3449">
        <v>19</v>
      </c>
    </row>
    <row customHeight="1" ht="24">
      <c r="E30" s="1108" t="s">
        <v>88</v>
      </c>
      <c r="F30" s="1024" t="s">
        <v>814</v>
      </c>
      <c r="G30" s="3436" t="s">
        <v>567</v>
      </c>
      <c r="H30" s="1057"/>
      <c r="I30" s="1057"/>
      <c r="J30" s="1057"/>
      <c r="K30" s="1057"/>
      <c r="L30" s="1057"/>
      <c r="M30" s="1057"/>
      <c r="N30" s="1057"/>
      <c r="O30" s="1057"/>
      <c r="P30" s="1057"/>
      <c r="Q30" s="1057"/>
      <c r="R30" s="3764"/>
      <c r="AN30" s="3449">
        <v>23</v>
      </c>
    </row>
    <row customHeight="1" ht="35.699999999999996">
      <c r="E31" s="1108" t="s">
        <v>89</v>
      </c>
      <c r="F31" s="1024" t="s">
        <v>815</v>
      </c>
      <c r="G31" s="3436" t="s">
        <v>567</v>
      </c>
      <c r="H31" s="1057"/>
      <c r="I31" s="1057"/>
      <c r="J31" s="1057"/>
      <c r="K31" s="1057"/>
      <c r="L31" s="1057"/>
      <c r="M31" s="1057"/>
      <c r="N31" s="1057"/>
      <c r="O31" s="1057"/>
      <c r="P31" s="1057"/>
      <c r="Q31" s="1057"/>
      <c r="R31" s="3764" t="s">
        <v>816</v>
      </c>
      <c r="AN31" s="3449">
        <v>34</v>
      </c>
    </row>
    <row customHeight="1" ht="24">
      <c r="E32" s="1108" t="s">
        <v>777</v>
      </c>
      <c r="F32" s="347" t="s">
        <v>781</v>
      </c>
      <c r="G32" s="3436" t="s">
        <v>567</v>
      </c>
      <c r="H32" s="1057"/>
      <c r="I32" s="1057"/>
      <c r="J32" s="1057"/>
      <c r="K32" s="1057"/>
      <c r="L32" s="1057"/>
      <c r="M32" s="1057"/>
      <c r="N32" s="1057"/>
      <c r="O32" s="1057"/>
      <c r="P32" s="1057"/>
      <c r="Q32" s="1057"/>
      <c r="R32" s="3764" t="s">
        <v>817</v>
      </c>
      <c r="AN32" s="3449">
        <v>23</v>
      </c>
    </row>
    <row customHeight="1" ht="24">
      <c r="E33" s="1108" t="s">
        <v>818</v>
      </c>
      <c r="F33" s="347" t="s">
        <v>819</v>
      </c>
      <c r="G33" s="3436" t="s">
        <v>567</v>
      </c>
      <c r="H33" s="1057"/>
      <c r="I33" s="1057"/>
      <c r="J33" s="1057"/>
      <c r="K33" s="1057"/>
      <c r="L33" s="1057"/>
      <c r="M33" s="1057"/>
      <c r="N33" s="1057"/>
      <c r="O33" s="1057"/>
      <c r="P33" s="1057"/>
      <c r="Q33" s="1057"/>
      <c r="R33" s="3764" t="s">
        <v>820</v>
      </c>
      <c r="AN33" s="3449">
        <v>23</v>
      </c>
    </row>
    <row customHeight="1" ht="24">
      <c r="E34" s="1108" t="s">
        <v>821</v>
      </c>
      <c r="F34" s="347" t="s">
        <v>787</v>
      </c>
      <c r="G34" s="3436" t="s">
        <v>567</v>
      </c>
      <c r="H34" s="1057"/>
      <c r="I34" s="1057"/>
      <c r="J34" s="1057"/>
      <c r="K34" s="1057"/>
      <c r="L34" s="1057"/>
      <c r="M34" s="1057"/>
      <c r="N34" s="1057"/>
      <c r="O34" s="1057"/>
      <c r="P34" s="1057"/>
      <c r="Q34" s="1057"/>
      <c r="R34" s="3764" t="s">
        <v>822</v>
      </c>
      <c r="AN34" s="3449">
        <v>23</v>
      </c>
    </row>
    <row customHeight="1" ht="35.699999999999996">
      <c r="C35" s="3473" t="s">
        <v>604</v>
      </c>
      <c r="E35" s="1108" t="s">
        <v>109</v>
      </c>
      <c r="F35" s="1024" t="s">
        <v>653</v>
      </c>
      <c r="G35" s="3480" t="s">
        <v>321</v>
      </c>
      <c r="H35" s="431"/>
      <c r="I35" s="431"/>
      <c r="J35" s="431"/>
      <c r="K35" s="431"/>
      <c r="L35" s="431"/>
      <c r="M35" s="431"/>
      <c r="N35" s="431"/>
      <c r="O35" s="431"/>
      <c r="P35" s="431"/>
      <c r="Q35" s="431"/>
      <c r="R35" s="3764" t="s">
        <v>823</v>
      </c>
      <c r="AN35" s="3449">
        <v>34</v>
      </c>
    </row>
    <row customHeight="1" ht="35.699999999999996">
      <c r="E36" s="1108" t="s">
        <v>90</v>
      </c>
      <c r="F36" s="1024" t="s">
        <v>824</v>
      </c>
      <c r="G36" s="3436" t="s">
        <v>791</v>
      </c>
      <c r="H36" s="1053"/>
      <c r="I36" s="1053"/>
      <c r="J36" s="1053"/>
      <c r="K36" s="1053"/>
      <c r="L36" s="1053"/>
      <c r="M36" s="1053"/>
      <c r="N36" s="1053"/>
      <c r="O36" s="1053"/>
      <c r="P36" s="1053"/>
      <c r="Q36" s="1053"/>
      <c r="R36" s="3764" t="s">
        <v>792</v>
      </c>
      <c r="AN36" s="3449">
        <v>34</v>
      </c>
    </row>
    <row customHeight="1" ht="24">
      <c r="E37" s="1108" t="s">
        <v>91</v>
      </c>
      <c r="F37" s="1024" t="s">
        <v>825</v>
      </c>
      <c r="G37" s="3436" t="s">
        <v>794</v>
      </c>
      <c r="H37" s="1053"/>
      <c r="I37" s="1053"/>
      <c r="J37" s="1053"/>
      <c r="K37" s="1053"/>
      <c r="L37" s="1053"/>
      <c r="M37" s="1053"/>
      <c r="N37" s="1053"/>
      <c r="O37" s="1053"/>
      <c r="P37" s="1053"/>
      <c r="Q37" s="1053"/>
      <c r="R37" s="3764" t="s">
        <v>795</v>
      </c>
      <c r="AN37" s="3449">
        <v>23</v>
      </c>
    </row>
    <row customHeight="1" ht="11.549999999999999">
      <c r="AN38" s="3432">
        <v>11</v>
      </c>
    </row>
    <row customHeight="1" ht="27.299999999999997">
      <c r="E39" s="3920" t="s">
        <v>826</v>
      </c>
      <c r="F39" s="3706" t="s">
        <v>827</v>
      </c>
      <c r="AN39" s="3432">
        <v>26</v>
      </c>
    </row>
    <row customHeight="1" ht="39.75">
      <c r="F40" s="3706" t="s">
        <v>828</v>
      </c>
      <c r="AN40" s="3637">
        <v>38</v>
      </c>
    </row>
    <row customHeight="1" ht="11.549999999999999">
      <c r="AN41" s="3637">
        <v>11</v>
      </c>
    </row>
    <row customHeight="1" ht="11.549999999999999">
      <c r="AN42" s="3637">
        <v>11</v>
      </c>
    </row>
    <row customHeight="1" ht="11.549999999999999">
      <c r="AN43" s="3637">
        <v>11</v>
      </c>
    </row>
    <row customHeight="1" ht="11.549999999999999">
      <c r="AN44" s="3637">
        <v>11</v>
      </c>
    </row>
    <row customHeight="1" ht="11.549999999999999">
      <c r="AN45" s="3637">
        <v>11</v>
      </c>
    </row>
    <row customHeight="1" ht="11.549999999999999">
      <c r="AN46" s="3637">
        <v>11</v>
      </c>
    </row>
    <row customHeight="1" ht="11.549999999999999">
      <c r="AN47" s="3637">
        <v>11</v>
      </c>
    </row>
    <row customHeight="1" ht="11.549999999999999">
      <c r="AN48" s="3637">
        <v>11</v>
      </c>
    </row>
    <row customHeight="1" ht="11.549999999999999">
      <c r="AN49" s="3637">
        <v>11</v>
      </c>
    </row>
    <row customHeight="1" ht="11.549999999999999">
      <c r="AN50" s="3637">
        <v>11</v>
      </c>
    </row>
    <row customHeight="1" ht="11.549999999999999">
      <c r="AN51" s="3637">
        <v>11</v>
      </c>
    </row>
    <row customHeight="1" ht="11.549999999999999">
      <c r="AN52" s="3637">
        <v>11</v>
      </c>
    </row>
    <row customHeight="1" ht="11.549999999999999">
      <c r="AN53" s="3637">
        <v>11</v>
      </c>
    </row>
    <row customHeight="1" ht="11.549999999999999">
      <c r="AN54" s="3637">
        <v>11</v>
      </c>
    </row>
    <row customHeight="1" ht="11.549999999999999">
      <c r="AN55" s="3637">
        <v>11</v>
      </c>
    </row>
    <row customHeight="1" ht="11.549999999999999">
      <c r="AN56" s="3637">
        <v>11</v>
      </c>
    </row>
    <row customHeight="1" ht="11.549999999999999">
      <c r="AN57" s="3637">
        <v>11</v>
      </c>
    </row>
    <row customHeight="1" ht="11.549999999999999">
      <c r="AN58" s="3637">
        <v>11</v>
      </c>
    </row>
    <row customHeight="1" ht="11.549999999999999">
      <c r="AN59" s="3637">
        <v>11</v>
      </c>
    </row>
    <row customHeight="1" ht="11.549999999999999">
      <c r="AN60" s="3637">
        <v>11</v>
      </c>
    </row>
    <row customHeight="1" ht="11.549999999999999">
      <c r="AN61" s="3637">
        <v>11</v>
      </c>
    </row>
    <row customHeight="1" ht="11.549999999999999">
      <c r="AN62" s="3637">
        <v>11</v>
      </c>
    </row>
    <row customHeight="1" ht="11.549999999999999">
      <c r="AN63" s="3637">
        <v>11</v>
      </c>
    </row>
    <row customHeight="1" ht="11.549999999999999">
      <c r="AN64" s="3637">
        <v>11</v>
      </c>
    </row>
    <row customHeight="1" ht="11.549999999999999">
      <c r="AN65" s="3637">
        <v>11</v>
      </c>
    </row>
    <row customHeight="1" ht="11.549999999999999">
      <c r="AN66" s="3637">
        <v>11</v>
      </c>
    </row>
    <row customHeight="1" ht="11.549999999999999">
      <c r="AN67" s="3637">
        <v>11</v>
      </c>
    </row>
    <row customHeight="1" ht="11.549999999999999">
      <c r="AN68" s="3637">
        <v>11</v>
      </c>
    </row>
    <row customHeight="1" ht="11.549999999999999">
      <c r="AN69" s="3637">
        <v>11</v>
      </c>
    </row>
    <row customHeight="1" ht="11.549999999999999">
      <c r="AN70" s="3637">
        <v>11</v>
      </c>
    </row>
    <row customHeight="1" ht="11.549999999999999">
      <c r="AN71" s="3637">
        <v>11</v>
      </c>
    </row>
    <row customHeight="1" ht="11.549999999999999">
      <c r="AN72" s="3637">
        <v>11</v>
      </c>
    </row>
    <row customHeight="1" ht="11.549999999999999">
      <c r="AN73" s="3637">
        <v>11</v>
      </c>
    </row>
    <row customHeight="1" ht="11.549999999999999">
      <c r="AN74" s="3637">
        <v>11</v>
      </c>
    </row>
    <row customHeight="1" ht="11.549999999999999">
      <c r="AN75" s="3637">
        <v>11</v>
      </c>
    </row>
    <row customHeight="1" ht="11.549999999999999">
      <c r="AN76" s="3637">
        <v>11</v>
      </c>
    </row>
    <row customHeight="1" ht="11.549999999999999">
      <c r="AN77" s="3637">
        <v>11</v>
      </c>
    </row>
    <row customHeight="1" ht="11.549999999999999">
      <c r="AN78" s="3637">
        <v>11</v>
      </c>
    </row>
    <row customHeight="1" ht="11.549999999999999">
      <c r="AN79" s="3637">
        <v>11</v>
      </c>
    </row>
    <row customHeight="1" ht="11.549999999999999">
      <c r="AN80" s="3637">
        <v>11</v>
      </c>
    </row>
    <row customHeight="1" ht="11.549999999999999">
      <c r="AN81" s="3637">
        <v>11</v>
      </c>
    </row>
    <row customHeight="1" ht="11.549999999999999">
      <c r="AN82" s="3637">
        <v>11</v>
      </c>
    </row>
    <row customHeight="1" ht="11.549999999999999">
      <c r="AN83" s="3637">
        <v>11</v>
      </c>
    </row>
    <row customHeight="1" ht="11.549999999999999">
      <c r="AN84" s="3637">
        <v>11</v>
      </c>
    </row>
    <row customHeight="1" ht="11.549999999999999">
      <c r="AN85" s="3637">
        <v>11</v>
      </c>
    </row>
    <row customHeight="1" ht="11.549999999999999">
      <c r="AN86" s="3637">
        <v>11</v>
      </c>
    </row>
    <row customHeight="1" ht="11.549999999999999">
      <c r="AN87" s="3637">
        <v>11</v>
      </c>
    </row>
    <row customHeight="1" ht="11.549999999999999">
      <c r="AN88" s="3637">
        <v>11</v>
      </c>
    </row>
    <row customHeight="1" ht="11.549999999999999">
      <c r="AN89" s="3637">
        <v>11</v>
      </c>
    </row>
    <row customHeight="1" ht="11.549999999999999">
      <c r="AN90" s="3637">
        <v>11</v>
      </c>
    </row>
    <row customHeight="1" ht="11.549999999999999">
      <c r="AN91" s="3637">
        <v>11</v>
      </c>
    </row>
    <row customHeight="1" ht="11.549999999999999">
      <c r="AN92" s="3637">
        <v>11</v>
      </c>
    </row>
    <row customHeight="1" ht="11.549999999999999">
      <c r="AN93" s="3637">
        <v>11</v>
      </c>
    </row>
    <row customHeight="1" ht="11.549999999999999">
      <c r="AN94" s="3637">
        <v>11</v>
      </c>
    </row>
    <row customHeight="1" ht="11.549999999999999">
      <c r="AN95" s="3637">
        <v>11</v>
      </c>
    </row>
    <row customHeight="1" ht="11.549999999999999">
      <c r="AN96" s="3637">
        <v>11</v>
      </c>
    </row>
    <row customHeight="1" ht="11.549999999999999">
      <c r="AN97" s="3637">
        <v>11</v>
      </c>
    </row>
    <row customHeight="1" ht="11.549999999999999">
      <c r="AN98" s="3637">
        <v>11</v>
      </c>
    </row>
    <row customHeight="1" ht="11.549999999999999">
      <c r="AN99" s="3637">
        <v>11</v>
      </c>
    </row>
    <row customHeight="1" ht="11.549999999999999">
      <c r="AN100" s="3637">
        <v>11</v>
      </c>
    </row>
    <row customHeight="1" ht="11.549999999999999">
      <c r="AN101" s="3637">
        <v>11</v>
      </c>
    </row>
    <row customHeight="1" ht="11.549999999999999">
      <c r="AN102" s="3637">
        <v>11</v>
      </c>
    </row>
    <row customHeight="1" ht="11.549999999999999">
      <c r="AN103" s="3637">
        <v>11</v>
      </c>
    </row>
    <row customHeight="1" ht="11.549999999999999">
      <c r="AN104" s="3637">
        <v>11</v>
      </c>
    </row>
    <row customHeight="1" ht="11.549999999999999">
      <c r="AN105" s="3637">
        <v>11</v>
      </c>
    </row>
    <row customHeight="1" ht="11.549999999999999">
      <c r="AN106" s="3637">
        <v>11</v>
      </c>
    </row>
    <row customHeight="1" ht="11.549999999999999">
      <c r="AN107" s="3637">
        <v>11</v>
      </c>
    </row>
    <row customHeight="1" ht="11.549999999999999">
      <c r="AN108" s="3637">
        <v>11</v>
      </c>
    </row>
    <row customHeight="1" ht="11.549999999999999">
      <c r="AN109" s="3637">
        <v>11</v>
      </c>
    </row>
    <row customHeight="1" ht="11.549999999999999">
      <c r="AN110" s="3637">
        <v>11</v>
      </c>
    </row>
    <row customHeight="1" ht="11.549999999999999">
      <c r="AN111" s="3637">
        <v>11</v>
      </c>
    </row>
    <row customHeight="1" ht="11.549999999999999">
      <c r="AN112" s="3637">
        <v>11</v>
      </c>
    </row>
    <row customHeight="1" ht="11.549999999999999">
      <c r="AN113" s="3637">
        <v>11</v>
      </c>
    </row>
    <row customHeight="1" ht="11.549999999999999">
      <c r="AN114" s="3637">
        <v>11</v>
      </c>
    </row>
    <row customHeight="1" ht="11.549999999999999">
      <c r="AN115" s="3637">
        <v>11</v>
      </c>
    </row>
    <row customHeight="1" ht="11.549999999999999">
      <c r="AN116" s="3637">
        <v>11</v>
      </c>
    </row>
    <row customHeight="1" ht="11.549999999999999">
      <c r="AN117" s="3637">
        <v>11</v>
      </c>
    </row>
    <row customHeight="1" ht="11.549999999999999">
      <c r="AN118" s="3637">
        <v>11</v>
      </c>
    </row>
    <row customHeight="1" ht="11.549999999999999">
      <c r="AN119" s="3637">
        <v>11</v>
      </c>
    </row>
    <row customHeight="1" ht="11.549999999999999">
      <c r="AN120" s="3637">
        <v>11</v>
      </c>
    </row>
    <row customHeight="1" ht="11.549999999999999">
      <c r="AN121" s="3637">
        <v>11</v>
      </c>
    </row>
    <row customHeight="1" ht="11.549999999999999">
      <c r="AN122" s="3637">
        <v>11</v>
      </c>
    </row>
    <row customHeight="1" ht="11.549999999999999">
      <c r="AN123" s="3637">
        <v>11</v>
      </c>
    </row>
    <row customHeight="1" ht="11.549999999999999">
      <c r="AN124" s="3637">
        <v>11</v>
      </c>
    </row>
    <row customHeight="1" ht="11.549999999999999">
      <c r="AN125" s="3637">
        <v>11</v>
      </c>
    </row>
    <row customHeight="1" ht="11.549999999999999">
      <c r="AN126" s="3637">
        <v>11</v>
      </c>
    </row>
    <row customHeight="1" ht="11.549999999999999">
      <c r="AN127" s="3637">
        <v>11</v>
      </c>
    </row>
    <row customHeight="1" ht="11.549999999999999">
      <c r="AN128" s="3637">
        <v>11</v>
      </c>
    </row>
    <row customHeight="1" ht="11.549999999999999">
      <c r="AN129" s="3637">
        <v>11</v>
      </c>
    </row>
    <row customHeight="1" ht="11.549999999999999">
      <c r="AN130" s="3637">
        <v>11</v>
      </c>
    </row>
    <row customHeight="1" ht="11.549999999999999">
      <c r="AN131" s="3637">
        <v>11</v>
      </c>
    </row>
    <row customHeight="1" ht="11.549999999999999">
      <c r="AN132" s="3637">
        <v>11</v>
      </c>
    </row>
    <row customHeight="1" ht="11.549999999999999">
      <c r="AN133" s="3637">
        <v>11</v>
      </c>
    </row>
    <row customHeight="1" ht="11.549999999999999">
      <c r="AN134" s="3637">
        <v>11</v>
      </c>
    </row>
    <row customHeight="1" ht="11.549999999999999">
      <c r="AN135" s="3637">
        <v>11</v>
      </c>
    </row>
    <row customHeight="1" ht="11.549999999999999">
      <c r="AN136" s="3637">
        <v>11</v>
      </c>
    </row>
    <row customHeight="1" ht="11.549999999999999">
      <c r="AN137" s="3637">
        <v>11</v>
      </c>
    </row>
    <row customHeight="1" ht="11.549999999999999">
      <c r="AN138" s="3637">
        <v>11</v>
      </c>
    </row>
    <row customHeight="1" ht="11.549999999999999">
      <c r="AN139" s="3637">
        <v>11</v>
      </c>
    </row>
    <row customHeight="1" ht="11.549999999999999">
      <c r="AN140" s="3637">
        <v>11</v>
      </c>
    </row>
    <row customHeight="1" ht="11.549999999999999">
      <c r="AN141" s="3637">
        <v>11</v>
      </c>
    </row>
    <row customHeight="1" ht="11.549999999999999">
      <c r="AN142" s="3637">
        <v>11</v>
      </c>
    </row>
    <row customHeight="1" ht="11.549999999999999">
      <c r="AN143" s="3637">
        <v>11</v>
      </c>
    </row>
    <row customHeight="1" ht="11.549999999999999">
      <c r="AN144" s="3637">
        <v>11</v>
      </c>
    </row>
    <row customHeight="1" ht="11.549999999999999">
      <c r="AN145" s="3637">
        <v>11</v>
      </c>
    </row>
    <row customHeight="1" ht="11.549999999999999">
      <c r="AN146" s="3637">
        <v>11</v>
      </c>
    </row>
    <row customHeight="1" ht="11.549999999999999">
      <c r="AN147" s="3637">
        <v>11</v>
      </c>
    </row>
    <row customHeight="1" ht="11.549999999999999">
      <c r="AN148" s="3637">
        <v>11</v>
      </c>
    </row>
    <row customHeight="1" ht="11.549999999999999">
      <c r="AN149" s="3637">
        <v>11</v>
      </c>
    </row>
    <row customHeight="1" ht="11.549999999999999">
      <c r="AN150" s="3637">
        <v>11</v>
      </c>
    </row>
    <row customHeight="1" ht="11.549999999999999">
      <c r="AN151" s="3637">
        <v>11</v>
      </c>
    </row>
    <row customHeight="1" ht="11.549999999999999">
      <c r="AN152" s="3637">
        <v>11</v>
      </c>
    </row>
    <row customHeight="1" ht="11.549999999999999">
      <c r="AN153" s="3637">
        <v>11</v>
      </c>
    </row>
    <row customHeight="1" ht="11.549999999999999">
      <c r="AN154" s="3637">
        <v>11</v>
      </c>
    </row>
    <row customHeight="1" ht="11.549999999999999">
      <c r="AN155" s="3637">
        <v>11</v>
      </c>
    </row>
    <row customHeight="1" ht="11.549999999999999">
      <c r="AN156" s="3637">
        <v>11</v>
      </c>
    </row>
    <row customHeight="1" ht="11.549999999999999">
      <c r="AN157" s="3637">
        <v>11</v>
      </c>
    </row>
    <row customHeight="1" ht="11.549999999999999">
      <c r="AN158" s="3637">
        <v>11</v>
      </c>
    </row>
    <row customHeight="1" ht="11.549999999999999">
      <c r="AN159" s="3637">
        <v>11</v>
      </c>
    </row>
    <row customHeight="1" ht="11.549999999999999">
      <c r="AN160" s="3637">
        <v>11</v>
      </c>
    </row>
    <row customHeight="1" ht="11.549999999999999">
      <c r="AN161" s="3637">
        <v>11</v>
      </c>
    </row>
    <row customHeight="1" ht="11.549999999999999">
      <c r="AN162" s="3637">
        <v>11</v>
      </c>
    </row>
    <row customHeight="1" ht="11.549999999999999">
      <c r="AN163" s="3637">
        <v>11</v>
      </c>
    </row>
    <row customHeight="1" ht="11.549999999999999">
      <c r="AN164" s="3637">
        <v>11</v>
      </c>
    </row>
    <row customHeight="1" ht="11.549999999999999">
      <c r="AN165" s="3637">
        <v>11</v>
      </c>
    </row>
    <row customHeight="1" ht="11.549999999999999">
      <c r="AN166" s="3637">
        <v>11</v>
      </c>
    </row>
    <row customHeight="1" ht="11.549999999999999">
      <c r="AN167" s="3637">
        <v>11</v>
      </c>
    </row>
    <row customHeight="1" ht="11.549999999999999">
      <c r="AN168" s="3637">
        <v>11</v>
      </c>
    </row>
    <row customHeight="1" ht="11.549999999999999">
      <c r="AN169" s="3637">
        <v>11</v>
      </c>
    </row>
    <row customHeight="1" ht="11.549999999999999">
      <c r="AN170" s="3637">
        <v>11</v>
      </c>
    </row>
    <row customHeight="1" ht="11.549999999999999">
      <c r="AN171" s="3637">
        <v>11</v>
      </c>
    </row>
    <row customHeight="1" ht="11.549999999999999">
      <c r="AN172" s="3637">
        <v>11</v>
      </c>
    </row>
    <row customHeight="1" ht="11.549999999999999">
      <c r="AN173" s="3637">
        <v>11</v>
      </c>
    </row>
    <row customHeight="1" ht="11.549999999999999">
      <c r="AN174" s="3637">
        <v>11</v>
      </c>
    </row>
    <row customHeight="1" ht="11.549999999999999">
      <c r="AN175" s="3637">
        <v>11</v>
      </c>
    </row>
    <row customHeight="1" ht="11.549999999999999">
      <c r="AN176" s="3637">
        <v>11</v>
      </c>
    </row>
    <row customHeight="1" ht="11.549999999999999">
      <c r="AN177" s="3637">
        <v>11</v>
      </c>
    </row>
    <row customHeight="1" ht="11.549999999999999">
      <c r="AN178" s="3637">
        <v>11</v>
      </c>
    </row>
    <row customHeight="1" ht="11.549999999999999">
      <c r="AN179" s="3637">
        <v>11</v>
      </c>
    </row>
    <row customHeight="1" ht="11.549999999999999">
      <c r="AN180" s="3637">
        <v>11</v>
      </c>
    </row>
    <row customHeight="1" ht="11.549999999999999">
      <c r="AN181" s="3637">
        <v>11</v>
      </c>
    </row>
    <row customHeight="1" ht="11.549999999999999">
      <c r="AN182" s="3637">
        <v>11</v>
      </c>
    </row>
    <row customHeight="1" ht="11.549999999999999">
      <c r="AN183" s="3637">
        <v>11</v>
      </c>
    </row>
    <row customHeight="1" ht="11.549999999999999">
      <c r="AN184" s="3637">
        <v>11</v>
      </c>
    </row>
    <row customHeight="1" ht="11.549999999999999">
      <c r="AN185" s="3637">
        <v>11</v>
      </c>
    </row>
    <row customHeight="1" ht="11.549999999999999">
      <c r="AN186" s="3637">
        <v>11</v>
      </c>
    </row>
    <row customHeight="1" ht="11.549999999999999">
      <c r="AN187" s="3637">
        <v>11</v>
      </c>
    </row>
    <row customHeight="1" ht="11.549999999999999">
      <c r="AN188" s="3637">
        <v>11</v>
      </c>
    </row>
    <row customHeight="1" ht="11.549999999999999">
      <c r="AN189" s="3637">
        <v>11</v>
      </c>
    </row>
    <row customHeight="1" ht="11.549999999999999">
      <c r="AN190" s="3637">
        <v>11</v>
      </c>
    </row>
    <row customHeight="1" ht="11.549999999999999">
      <c r="AN191" s="3637">
        <v>11</v>
      </c>
    </row>
    <row customHeight="1" ht="11.549999999999999">
      <c r="AN192" s="3637">
        <v>11</v>
      </c>
    </row>
    <row customHeight="1" ht="11.549999999999999">
      <c r="AN193" s="3637">
        <v>11</v>
      </c>
    </row>
    <row customHeight="1" ht="11.549999999999999">
      <c r="AN194" s="3637">
        <v>11</v>
      </c>
    </row>
    <row customHeight="1" ht="11.549999999999999">
      <c r="AN195" s="3637">
        <v>11</v>
      </c>
    </row>
    <row customHeight="1" ht="11.549999999999999">
      <c r="AN196" s="3432">
        <v>11</v>
      </c>
    </row>
    <row customHeight="1" ht="11.549999999999999">
      <c r="AN197" s="3432">
        <v>11</v>
      </c>
    </row>
    <row customHeight="1" ht="11.549999999999999">
      <c r="AN198" s="3432">
        <v>11</v>
      </c>
    </row>
    <row customHeight="1" ht="11.549999999999999">
      <c r="AN199" s="3432">
        <v>11</v>
      </c>
    </row>
    <row customHeight="1" ht="11.549999999999999">
      <c r="AN200" s="3432">
        <v>11</v>
      </c>
    </row>
    <row customHeight="1" ht="11.549999999999999">
      <c r="AN201" s="3432">
        <v>11</v>
      </c>
    </row>
    <row customHeight="1" ht="11.549999999999999">
      <c r="AN202" s="3432">
        <v>11</v>
      </c>
    </row>
    <row customHeight="1" ht="11.549999999999999">
      <c r="AN203" s="3432">
        <v>11</v>
      </c>
    </row>
    <row customHeight="1" ht="11.549999999999999">
      <c r="AN204" s="3432">
        <v>11</v>
      </c>
    </row>
    <row customHeight="1" ht="11.549999999999999">
      <c r="AN205" s="3432">
        <v>11</v>
      </c>
    </row>
    <row customHeight="1" ht="11.549999999999999">
      <c r="AN206" s="3432">
        <v>11</v>
      </c>
    </row>
    <row customHeight="1" ht="11.549999999999999">
      <c r="AN207" s="3432">
        <v>11</v>
      </c>
    </row>
    <row customHeight="1" ht="11.549999999999999">
      <c r="AN208" s="3432">
        <v>11</v>
      </c>
    </row>
    <row customHeight="1" ht="11.549999999999999">
      <c r="AN209" s="3432">
        <v>11</v>
      </c>
    </row>
    <row customHeight="1" ht="11.25" hidden="1">
      <c r="A210" s="1093" t="s">
        <v>80</v>
      </c>
      <c r="B210" s="3449">
        <v>0</v>
      </c>
      <c r="C210" s="3473">
        <v>0</v>
      </c>
      <c r="D210" s="3432">
        <v>3</v>
      </c>
      <c r="E210" s="3432">
        <v>7</v>
      </c>
      <c r="F210" s="3432">
        <v>54</v>
      </c>
      <c r="G210" s="3432">
        <v>10</v>
      </c>
      <c r="H210" s="3432">
        <v>0</v>
      </c>
      <c r="I210" s="3432">
        <v>40</v>
      </c>
      <c r="J210" s="3432">
        <v>0</v>
      </c>
      <c r="K210" s="3432">
        <v>0</v>
      </c>
      <c r="L210" s="3432">
        <v>0</v>
      </c>
      <c r="M210" s="3432">
        <v>0</v>
      </c>
      <c r="N210" s="3432">
        <v>0</v>
      </c>
      <c r="O210" s="3432">
        <v>0</v>
      </c>
      <c r="P210" s="3432">
        <v>0</v>
      </c>
      <c r="Q210" s="3432">
        <v>0</v>
      </c>
      <c r="R210" s="3432">
        <v>102</v>
      </c>
      <c r="S210" s="3449">
        <v>9</v>
      </c>
      <c r="T210" s="3473">
        <v>5</v>
      </c>
      <c r="U210" s="3473">
        <v>3</v>
      </c>
      <c r="V210" s="3449">
        <v>3</v>
      </c>
      <c r="W210" s="3449">
        <v>3</v>
      </c>
      <c r="X210" s="3449">
        <v>3</v>
      </c>
      <c r="Y210" s="3449">
        <v>3</v>
      </c>
      <c r="Z210" s="3473">
        <v>10</v>
      </c>
      <c r="AA210" s="3449">
        <v>34</v>
      </c>
      <c r="AB210" s="3449">
        <v>9</v>
      </c>
      <c r="AC210" s="3972">
        <v>8</v>
      </c>
      <c r="AD210" s="3449">
        <v>8</v>
      </c>
      <c r="AE210" s="3449">
        <v>8</v>
      </c>
      <c r="AF210" s="3449">
        <v>8</v>
      </c>
      <c r="AG210" s="3449">
        <v>8</v>
      </c>
      <c r="AH210" s="3449">
        <v>8</v>
      </c>
      <c r="AI210" s="3430">
        <v>8</v>
      </c>
      <c r="AJ210" s="3430">
        <v>8</v>
      </c>
      <c r="AK210" s="3430">
        <v>8</v>
      </c>
      <c r="AL210" s="3430">
        <v>8</v>
      </c>
      <c r="AM210" s="3430">
        <v>8</v>
      </c>
      <c r="AN210" s="3432">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E8656-84F2-04FA-5242-0F07DEAE284E}" mc:Ignorable="x14ac xr xr2 xr3">
  <sheetPr>
    <tabColor theme="9" tint="-0.25"/>
  </sheetPr>
  <dimension ref="A1:AN102"/>
  <sheetViews>
    <sheetView topLeftCell="C2" showGridLines="0" workbookViewId="0" tabSelected="1">
      <selection activeCell="Y74" sqref="Y74"/>
    </sheetView>
  </sheetViews>
  <sheetFormatPr defaultColWidth="10.57421875" customHeight="1" defaultRowHeight="11.25"/>
  <cols>
    <col min="1" max="1" style="7348" width="9.140625" hidden="1" customWidth="1"/>
    <col min="2" max="2" style="7348" width="3.57421875" hidden="1" customWidth="1"/>
    <col min="3" max="3" style="7348" width="3.00390625" customWidth="1"/>
    <col min="4" max="4" style="7348" width="5.7109375" customWidth="1"/>
    <col min="5" max="5" style="7348" width="37.93359375" customWidth="1"/>
    <col min="6" max="6" style="7348" width="7.4609375" customWidth="1"/>
    <col min="7" max="8" style="7348" width="44.00390625" hidden="1" customWidth="1"/>
    <col min="9" max="9" style="7348" width="13.4921875" customWidth="1"/>
    <col min="10" max="10" style="7348" width="9.68359375" customWidth="1"/>
    <col min="11" max="11" style="7348" width="10.953125" customWidth="1"/>
    <col min="12" max="12" style="7348" width="7.93359375" customWidth="1"/>
    <col min="13" max="13" style="7348" width="12.0625" customWidth="1"/>
    <col min="14" max="14" style="7348" width="9.203125" customWidth="1"/>
    <col min="15" max="15" style="7348" width="14.28125" customWidth="1"/>
    <col min="16" max="16" style="7348" width="9.04296875" customWidth="1"/>
    <col min="17" max="17" style="7348" width="17.7734375" customWidth="1"/>
    <col min="18" max="18" style="7348" width="11.7421875" customWidth="1"/>
    <col min="19" max="19" style="7348" width="19.36328125" customWidth="1"/>
    <col min="20" max="20" style="7348" width="9.00390625" customWidth="1"/>
    <col min="21" max="21" style="7348" width="14.140625" customWidth="1"/>
    <col min="22" max="22" style="7348" width="7.7109375" customWidth="1"/>
    <col min="23" max="23" style="7348" width="19.57421875" customWidth="1"/>
    <col min="24" max="24" style="7348" width="4.921875" customWidth="1"/>
    <col min="25" max="25" style="7348" width="13.33203125" customWidth="1"/>
    <col min="26" max="26" style="7348" width="11.90234375" customWidth="1"/>
    <col min="27" max="27" style="7348" width="73.00390625" customWidth="1"/>
    <col min="28" max="28" style="7348" width="3.00390625" customWidth="1"/>
    <col min="29" max="39" style="7348" width="10.00390625" customWidth="1"/>
    <col min="40" max="40" style="7348" width="10.57421875" hidden="1"/>
  </cols>
  <sheetData>
    <row customHeight="1" ht="22.5" hidden="1">
      <c r="G1" s="3449">
        <v>4</v>
      </c>
      <c r="I1" s="3449">
        <v>4</v>
      </c>
      <c r="K1" s="3449">
        <v>4</v>
      </c>
      <c r="M1" s="3449">
        <v>4</v>
      </c>
      <c r="O1" s="3449">
        <v>4</v>
      </c>
      <c r="Q1" s="3449">
        <v>4</v>
      </c>
      <c r="S1" s="3449">
        <v>4</v>
      </c>
      <c r="U1" s="3449">
        <v>4</v>
      </c>
      <c r="W1" s="3449">
        <v>4</v>
      </c>
      <c r="Y1" s="3449">
        <v>4</v>
      </c>
      <c r="AA1" s="3449">
        <v>5</v>
      </c>
      <c r="AN1" s="3449" t="s">
        <v>14</v>
      </c>
    </row>
    <row customHeight="1" ht="3">
      <c r="AN2" s="3432">
        <v>3</v>
      </c>
    </row>
    <row customHeight="1" ht="78.75">
      <c r="D3" s="34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491"/>
      <c r="F3" s="3492"/>
      <c r="AN3" s="3432">
        <v>75</v>
      </c>
    </row>
    <row customHeight="1" ht="21">
      <c r="D4" s="3622" t="str">
        <f>IF(org=0,"Не определено",org)</f>
        <v>ООО "ТеплоЭлектроГенерирующая Компания"</v>
      </c>
      <c r="E4" s="3623"/>
      <c r="F4" s="3624"/>
      <c r="AN4" s="3432">
        <v>20</v>
      </c>
    </row>
    <row customHeight="1" ht="11.549999999999999">
      <c r="H5" s="3575"/>
      <c r="J5" s="3575"/>
      <c r="L5" s="3575"/>
      <c r="N5" s="3575"/>
      <c r="P5" s="3575"/>
      <c r="R5" s="3575"/>
      <c r="T5" s="3575"/>
      <c r="V5" s="3575"/>
      <c r="X5" s="3575"/>
      <c r="Z5" s="3575"/>
      <c r="AN5" s="3432">
        <v>11</v>
      </c>
    </row>
    <row customHeight="1" ht="1.05">
      <c r="G6" s="3980"/>
      <c r="H6" s="3980"/>
      <c r="I6" s="3980" t="s">
        <v>116</v>
      </c>
      <c r="J6" s="3980"/>
      <c r="K6" s="3980" t="s">
        <v>121</v>
      </c>
      <c r="L6" s="3980"/>
      <c r="M6" s="3980" t="s">
        <v>123</v>
      </c>
      <c r="N6" s="3980"/>
      <c r="O6" s="3980" t="s">
        <v>125</v>
      </c>
      <c r="P6" s="3980"/>
      <c r="Q6" s="3980" t="s">
        <v>127</v>
      </c>
      <c r="R6" s="3980"/>
      <c r="S6" s="3980" t="s">
        <v>129</v>
      </c>
      <c r="T6" s="3980"/>
      <c r="U6" s="3980" t="s">
        <v>131</v>
      </c>
      <c r="V6" s="3980"/>
      <c r="W6" s="3980" t="s">
        <v>133</v>
      </c>
      <c r="X6" s="3980"/>
      <c r="Y6" s="3980" t="s">
        <v>136</v>
      </c>
      <c r="Z6" s="3980"/>
      <c r="AN6" s="3432">
        <v>1</v>
      </c>
    </row>
    <row customHeight="1" ht="11.549999999999999">
      <c r="D7" s="3924"/>
      <c r="E7" s="3925" t="s">
        <v>103</v>
      </c>
      <c r="F7" s="3926"/>
      <c r="G7" s="3954" t="str">
        <f>IF(G6="","",INDEX(DIFFERENTIATION_UNMERGE_VD,MATCH(G6,DIFFERENTIATION_ID_DIFF,0)))</f>
        <v/>
      </c>
      <c r="H7" s="3981"/>
      <c r="I7" s="3954" t="str">
        <f>IF(I6="","",INDEX(DIFFERENTIATION_UNMERGE_VD,MATCH(I6,DIFFERENTIATION_ID_DIFF,0)))</f>
        <v>Горячее водоснабжение</v>
      </c>
      <c r="J7" s="3981"/>
      <c r="K7" s="3954" t="str">
        <f>IF(K6="","",INDEX(DIFFERENTIATION_UNMERGE_VD,MATCH(K6,DIFFERENTIATION_ID_DIFF,0)))</f>
        <v>Горячее водоснабжение</v>
      </c>
      <c r="L7" s="3981"/>
      <c r="M7" s="3954" t="str">
        <f>IF(M6="","",INDEX(DIFFERENTIATION_UNMERGE_VD,MATCH(M6,DIFFERENTIATION_ID_DIFF,0)))</f>
        <v>Горячее водоснабжение</v>
      </c>
      <c r="N7" s="3981"/>
      <c r="O7" s="3954" t="str">
        <f>IF(O6="","",INDEX(DIFFERENTIATION_UNMERGE_VD,MATCH(O6,DIFFERENTIATION_ID_DIFF,0)))</f>
        <v>Горячее водоснабжение</v>
      </c>
      <c r="P7" s="3981"/>
      <c r="Q7" s="3954" t="str">
        <f>IF(Q6="","",INDEX(DIFFERENTIATION_UNMERGE_VD,MATCH(Q6,DIFFERENTIATION_ID_DIFF,0)))</f>
        <v>Горячее водоснабжение</v>
      </c>
      <c r="R7" s="3981"/>
      <c r="S7" s="3954" t="str">
        <f>IF(S6="","",INDEX(DIFFERENTIATION_UNMERGE_VD,MATCH(S6,DIFFERENTIATION_ID_DIFF,0)))</f>
        <v>Горячее водоснабжение</v>
      </c>
      <c r="T7" s="3981"/>
      <c r="U7" s="3954" t="str">
        <f>IF(U6="","",INDEX(DIFFERENTIATION_UNMERGE_VD,MATCH(U6,DIFFERENTIATION_ID_DIFF,0)))</f>
        <v>Горячее водоснабжение</v>
      </c>
      <c r="V7" s="3981"/>
      <c r="W7" s="3954" t="str">
        <f>IF(W6="","",INDEX(DIFFERENTIATION_UNMERGE_VD,MATCH(W6,DIFFERENTIATION_ID_DIFF,0)))</f>
        <v>Горячее водоснабжение</v>
      </c>
      <c r="X7" s="3981"/>
      <c r="Y7" s="3954" t="str">
        <f>IF(Y6="","",INDEX(DIFFERENTIATION_UNMERGE_VD,MATCH(Y6,DIFFERENTIATION_ID_DIFF,0)))</f>
        <v>Горячее водоснабжение</v>
      </c>
      <c r="Z7" s="3981"/>
      <c r="AA7" s="3558"/>
      <c r="AN7" s="3432">
        <v>11</v>
      </c>
    </row>
    <row customHeight="1" ht="11.549999999999999">
      <c r="D8" s="3924"/>
      <c r="E8" s="3925" t="s">
        <v>579</v>
      </c>
      <c r="F8" s="3926"/>
      <c r="G8" s="3954" t="str">
        <f>IF(G6="","",INDEX(DIFFERENTIATION_UNMERGE_AREA,MATCH(G6,DIFFERENTIATION_ID_DIFF,0)))</f>
        <v/>
      </c>
      <c r="H8" s="3981"/>
      <c r="I8" s="3954" t="str">
        <f>IF(I6="","",INDEX(DIFFERENTIATION_UNMERGE_AREA,MATCH(I6,DIFFERENTIATION_ID_DIFF,0)))</f>
        <v>Территория 1</v>
      </c>
      <c r="J8" s="3981"/>
      <c r="K8" s="3954" t="str">
        <f>IF(K6="","",INDEX(DIFFERENTIATION_UNMERGE_AREA,MATCH(K6,DIFFERENTIATION_ID_DIFF,0)))</f>
        <v>Территория 1</v>
      </c>
      <c r="L8" s="3981"/>
      <c r="M8" s="3954" t="str">
        <f>IF(M6="","",INDEX(DIFFERENTIATION_UNMERGE_AREA,MATCH(M6,DIFFERENTIATION_ID_DIFF,0)))</f>
        <v>Территория 1</v>
      </c>
      <c r="N8" s="3981"/>
      <c r="O8" s="3954" t="str">
        <f>IF(O6="","",INDEX(DIFFERENTIATION_UNMERGE_AREA,MATCH(O6,DIFFERENTIATION_ID_DIFF,0)))</f>
        <v>Территория 1</v>
      </c>
      <c r="P8" s="3981"/>
      <c r="Q8" s="3954" t="str">
        <f>IF(Q6="","",INDEX(DIFFERENTIATION_UNMERGE_AREA,MATCH(Q6,DIFFERENTIATION_ID_DIFF,0)))</f>
        <v>Территория 1</v>
      </c>
      <c r="R8" s="3981"/>
      <c r="S8" s="3954" t="str">
        <f>IF(S6="","",INDEX(DIFFERENTIATION_UNMERGE_AREA,MATCH(S6,DIFFERENTIATION_ID_DIFF,0)))</f>
        <v>Территория 1</v>
      </c>
      <c r="T8" s="3981"/>
      <c r="U8" s="3954" t="str">
        <f>IF(U6="","",INDEX(DIFFERENTIATION_UNMERGE_AREA,MATCH(U6,DIFFERENTIATION_ID_DIFF,0)))</f>
        <v>Территория 1</v>
      </c>
      <c r="V8" s="3981"/>
      <c r="W8" s="3954" t="str">
        <f>IF(W6="","",INDEX(DIFFERENTIATION_UNMERGE_AREA,MATCH(W6,DIFFERENTIATION_ID_DIFF,0)))</f>
        <v>Территория 1</v>
      </c>
      <c r="X8" s="3981"/>
      <c r="Y8" s="3954" t="str">
        <f>IF(Y6="","",INDEX(DIFFERENTIATION_UNMERGE_AREA,MATCH(Y6,DIFFERENTIATION_ID_DIFF,0)))</f>
        <v>Территория 1</v>
      </c>
      <c r="Z8" s="3981"/>
      <c r="AA8" s="3557"/>
      <c r="AN8" s="3432">
        <v>11</v>
      </c>
    </row>
    <row customHeight="1" ht="22.5">
      <c r="D9" s="3924"/>
      <c r="E9" s="3925" t="s">
        <v>580</v>
      </c>
      <c r="F9" s="3926"/>
      <c r="G9" s="3954" t="str">
        <f>IF(G6="","",INDEX(DIFFERENTIATION_UNMERGE_SYSTEM,MATCH(G6,DIFFERENTIATION_ID_DIFF,0)))</f>
        <v/>
      </c>
      <c r="H9" s="3981"/>
      <c r="I9" s="3954" t="str">
        <f>IF(I6="","",INDEX(DIFFERENTIATION_UNMERGE_SYSTEM,MATCH(I6,DIFFERENTIATION_ID_DIFF,0)))</f>
        <v>г. Саратов, ул.Деловая, 22, п. Юбилейный
</v>
      </c>
      <c r="J9" s="3981"/>
      <c r="K9" s="3954" t="str">
        <f>IF(K6="","",INDEX(DIFFERENTIATION_UNMERGE_SYSTEM,MATCH(K6,DIFFERENTIATION_ID_DIFF,0)))</f>
        <v>г. Саратов, ул. Вавилова,8/26 А
</v>
      </c>
      <c r="L9" s="3981"/>
      <c r="M9" s="3954" t="str">
        <f>IF(M6="","",INDEX(DIFFERENTIATION_UNMERGE_SYSTEM,MATCH(M6,DIFFERENTIATION_ID_DIFF,0)))</f>
        <v>г. Саратов, пр. 50 лет Октября, 60, 74, 108, ЦТП Волочаевский пр., 5, ЦТП Соколовая, 145/153
</v>
      </c>
      <c r="N9" s="3981"/>
      <c r="O9" s="3954" t="str">
        <f>IF(O6="","",INDEX(DIFFERENTIATION_UNMERGE_SYSTEM,MATCH(O6,DIFFERENTIATION_ID_DIFF,0)))</f>
        <v>г. Саратов, ул. Шелковичная, 186, ул. Шелковичная, 178, ул. Шелковичная, 155/161, ул. 2-я Садовая, 106 б.
</v>
      </c>
      <c r="P9" s="3981"/>
      <c r="Q9" s="3954" t="str">
        <f>IF(Q6="","",INDEX(DIFFERENTIATION_UNMERGE_SYSTEM,MATCH(Q6,DIFFERENTIATION_ID_DIFF,0)))</f>
        <v>г. Саратов, ул. Ломоносова, 1
</v>
      </c>
      <c r="R9" s="3981"/>
      <c r="S9" s="3954" t="str">
        <f>IF(S6="","",INDEX(DIFFERENTIATION_UNMERGE_SYSTEM,MATCH(S6,DIFFERENTIATION_ID_DIFF,0)))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9" s="3981"/>
      <c r="U9" s="3954" t="str">
        <f>IF(U6="","",INDEX(DIFFERENTIATION_UNMERGE_SYSTEM,MATCH(U6,DIFFERENTIATION_ID_DIFF,0)))</f>
        <v>г. Саратов, ул. Огородная, 77
</v>
      </c>
      <c r="V9" s="3981"/>
      <c r="W9" s="3954" t="str">
        <f>IF(W6="","",INDEX(DIFFERENTIATION_UNMERGE_SYSTEM,MATCH(W6,DIFFERENTIATION_ID_DIFF,0)))</f>
        <v>г. Саратов, ул. Танкистов, 89
</v>
      </c>
      <c r="X9" s="3981"/>
      <c r="Y9" s="3954" t="str">
        <f>IF(Y6="","",INDEX(DIFFERENTIATION_UNMERGE_SYSTEM,MATCH(Y6,DIFFERENTIATION_ID_DIFF,0)))</f>
        <v>г. Саратов, ул. Политехническая, 47
</v>
      </c>
      <c r="Z9" s="3981"/>
      <c r="AA9" s="3557"/>
      <c r="AN9" s="3432">
        <v>11</v>
      </c>
    </row>
    <row customHeight="1" ht="11.549999999999999">
      <c r="D10" s="3437" t="s">
        <v>315</v>
      </c>
      <c r="E10" s="3477"/>
      <c r="F10" s="3477"/>
      <c r="G10" s="3477"/>
      <c r="H10" s="3477"/>
      <c r="I10" s="3477"/>
      <c r="J10" s="3436"/>
      <c r="K10" s="3477"/>
      <c r="L10" s="3477"/>
      <c r="M10" s="3477"/>
      <c r="N10" s="3477"/>
      <c r="O10" s="3477"/>
      <c r="P10" s="3477"/>
      <c r="Q10" s="3477"/>
      <c r="R10" s="3477"/>
      <c r="S10" s="3477"/>
      <c r="T10" s="3477"/>
      <c r="U10" s="3477"/>
      <c r="V10" s="3477"/>
      <c r="W10" s="3477"/>
      <c r="X10" s="3477"/>
      <c r="Y10" s="3477"/>
      <c r="Z10" s="3477"/>
      <c r="AA10" s="3557"/>
      <c r="AN10" s="3432">
        <v>11</v>
      </c>
    </row>
    <row customHeight="1" ht="24">
      <c r="D11" s="3480" t="s">
        <v>86</v>
      </c>
      <c r="E11" s="3480" t="s">
        <v>829</v>
      </c>
      <c r="F11" s="3480" t="s">
        <v>581</v>
      </c>
      <c r="G11" s="3480" t="s">
        <v>318</v>
      </c>
      <c r="H11" s="3480" t="s">
        <v>405</v>
      </c>
      <c r="I11" s="3480" t="s">
        <v>318</v>
      </c>
      <c r="J11" s="3437" t="s">
        <v>405</v>
      </c>
      <c r="K11" s="3480" t="s">
        <v>318</v>
      </c>
      <c r="L11" s="3480" t="s">
        <v>405</v>
      </c>
      <c r="M11" s="3480" t="s">
        <v>318</v>
      </c>
      <c r="N11" s="3480" t="s">
        <v>405</v>
      </c>
      <c r="O11" s="3480" t="s">
        <v>318</v>
      </c>
      <c r="P11" s="3480" t="s">
        <v>405</v>
      </c>
      <c r="Q11" s="3480" t="s">
        <v>318</v>
      </c>
      <c r="R11" s="3480" t="s">
        <v>405</v>
      </c>
      <c r="S11" s="3480" t="s">
        <v>318</v>
      </c>
      <c r="T11" s="3480" t="s">
        <v>405</v>
      </c>
      <c r="U11" s="3480" t="s">
        <v>318</v>
      </c>
      <c r="V11" s="3480" t="s">
        <v>405</v>
      </c>
      <c r="W11" s="3480" t="s">
        <v>318</v>
      </c>
      <c r="X11" s="3480" t="s">
        <v>405</v>
      </c>
      <c r="Y11" s="3480" t="s">
        <v>318</v>
      </c>
      <c r="Z11" s="3480" t="s">
        <v>405</v>
      </c>
      <c r="AA11" s="3483"/>
      <c r="AN11" s="3432">
        <v>23</v>
      </c>
    </row>
    <row customHeight="1" ht="10.5">
      <c r="D12" s="951" t="s">
        <v>107</v>
      </c>
      <c r="E12" s="951" t="s">
        <v>108</v>
      </c>
      <c r="F12" s="951" t="s">
        <v>88</v>
      </c>
      <c r="G12" s="3471" t="str">
        <f>G1&amp;".1"</f>
        <v>4.1</v>
      </c>
      <c r="H12" s="3471" t="str">
        <f>G1&amp;".2"</f>
        <v>4.2</v>
      </c>
      <c r="I12" s="3471" t="str">
        <f>I1&amp;".1"</f>
        <v>4.1</v>
      </c>
      <c r="J12" s="3471" t="str">
        <f>I1&amp;".2"</f>
        <v>4.2</v>
      </c>
      <c r="K12" s="3471" t="str">
        <f>K1&amp;".1"</f>
        <v>4.1</v>
      </c>
      <c r="L12" s="3471" t="str">
        <f>K1&amp;".2"</f>
        <v>4.2</v>
      </c>
      <c r="M12" s="3471" t="str">
        <f>M1&amp;".1"</f>
        <v>4.1</v>
      </c>
      <c r="N12" s="3471" t="str">
        <f>M1&amp;".2"</f>
        <v>4.2</v>
      </c>
      <c r="O12" s="3471" t="str">
        <f>O1&amp;".1"</f>
        <v>4.1</v>
      </c>
      <c r="P12" s="3471" t="str">
        <f>O1&amp;".2"</f>
        <v>4.2</v>
      </c>
      <c r="Q12" s="3471" t="str">
        <f>Q1&amp;".1"</f>
        <v>4.1</v>
      </c>
      <c r="R12" s="3471" t="str">
        <f>Q1&amp;".2"</f>
        <v>4.2</v>
      </c>
      <c r="S12" s="3471" t="str">
        <f>S1&amp;".1"</f>
        <v>4.1</v>
      </c>
      <c r="T12" s="3471" t="str">
        <f>S1&amp;".2"</f>
        <v>4.2</v>
      </c>
      <c r="U12" s="3471" t="str">
        <f>U1&amp;".1"</f>
        <v>4.1</v>
      </c>
      <c r="V12" s="3471" t="str">
        <f>U1&amp;".2"</f>
        <v>4.2</v>
      </c>
      <c r="W12" s="3471" t="str">
        <f>W1&amp;".1"</f>
        <v>4.1</v>
      </c>
      <c r="X12" s="3471" t="str">
        <f>W1&amp;".2"</f>
        <v>4.2</v>
      </c>
      <c r="Y12" s="3471" t="str">
        <f>Y1&amp;".1"</f>
        <v>4.1</v>
      </c>
      <c r="Z12" s="3471" t="str">
        <f>Y1&amp;".2"</f>
        <v>4.2</v>
      </c>
      <c r="AN12" s="3473">
        <v>10</v>
      </c>
    </row>
    <row customHeight="1" ht="22.5" hidden="1">
      <c r="A13" s="1116" t="s">
        <v>830</v>
      </c>
      <c r="D13" s="204" t="s">
        <v>107</v>
      </c>
      <c r="E13" s="3563" t="s">
        <v>831</v>
      </c>
      <c r="F13" s="146" t="s">
        <v>832</v>
      </c>
      <c r="G13" s="1057"/>
      <c r="H13" s="1117"/>
      <c r="I13" s="1057"/>
      <c r="J13" s="1117"/>
      <c r="K13" s="1057"/>
      <c r="L13" s="1117"/>
      <c r="M13" s="1057"/>
      <c r="N13" s="1117"/>
      <c r="O13" s="1057"/>
      <c r="P13" s="1117"/>
      <c r="Q13" s="1057"/>
      <c r="R13" s="1117"/>
      <c r="S13" s="1057"/>
      <c r="T13" s="1117"/>
      <c r="U13" s="1057"/>
      <c r="V13" s="1117"/>
      <c r="W13" s="1057"/>
      <c r="X13" s="1117"/>
      <c r="Y13" s="1057"/>
      <c r="Z13" s="1117"/>
      <c r="AA13" s="3764" t="s">
        <v>833</v>
      </c>
      <c r="AB13" s="3982"/>
      <c r="AN13" s="3432">
        <v>0</v>
      </c>
    </row>
    <row customHeight="1" ht="22.5" hidden="1">
      <c r="A14" s="1116"/>
      <c r="D14" s="204" t="s">
        <v>108</v>
      </c>
      <c r="E14" s="3563" t="s">
        <v>834</v>
      </c>
      <c r="F14" s="146" t="s">
        <v>835</v>
      </c>
      <c r="G14" s="1057"/>
      <c r="H14" s="1117"/>
      <c r="I14" s="1057"/>
      <c r="J14" s="1117"/>
      <c r="K14" s="1057"/>
      <c r="L14" s="1117"/>
      <c r="M14" s="1057"/>
      <c r="N14" s="1117"/>
      <c r="O14" s="1057"/>
      <c r="P14" s="1117"/>
      <c r="Q14" s="1057"/>
      <c r="R14" s="1117"/>
      <c r="S14" s="1057"/>
      <c r="T14" s="1117"/>
      <c r="U14" s="1057"/>
      <c r="V14" s="1117"/>
      <c r="W14" s="1057"/>
      <c r="X14" s="1117"/>
      <c r="Y14" s="1057"/>
      <c r="Z14" s="1117"/>
      <c r="AA14" s="3764" t="s">
        <v>836</v>
      </c>
      <c r="AB14" s="3982"/>
      <c r="AN14" s="3432">
        <v>0</v>
      </c>
    </row>
    <row customHeight="1" ht="78.75" hidden="1">
      <c r="A15" s="1116"/>
      <c r="D15" s="204" t="s">
        <v>88</v>
      </c>
      <c r="E15" s="3563" t="s">
        <v>837</v>
      </c>
      <c r="F15" s="3480" t="s">
        <v>321</v>
      </c>
      <c r="G15" s="3480" t="s">
        <v>321</v>
      </c>
      <c r="H15" s="355"/>
      <c r="I15" s="3480" t="s">
        <v>321</v>
      </c>
      <c r="J15" s="355"/>
      <c r="K15" s="3480" t="s">
        <v>321</v>
      </c>
      <c r="L15" s="355"/>
      <c r="M15" s="3480" t="s">
        <v>321</v>
      </c>
      <c r="N15" s="355"/>
      <c r="O15" s="3480" t="s">
        <v>321</v>
      </c>
      <c r="P15" s="355"/>
      <c r="Q15" s="3480" t="s">
        <v>321</v>
      </c>
      <c r="R15" s="355"/>
      <c r="S15" s="3480" t="s">
        <v>321</v>
      </c>
      <c r="T15" s="355"/>
      <c r="U15" s="3480" t="s">
        <v>321</v>
      </c>
      <c r="V15" s="355"/>
      <c r="W15" s="3480" t="s">
        <v>321</v>
      </c>
      <c r="X15" s="355"/>
      <c r="Y15" s="3480" t="s">
        <v>321</v>
      </c>
      <c r="Z15" s="355"/>
      <c r="AA15" s="3764" t="s">
        <v>838</v>
      </c>
      <c r="AB15" s="3982"/>
      <c r="AN15" s="3432">
        <v>0</v>
      </c>
    </row>
    <row customHeight="1" ht="22.5" hidden="1">
      <c r="A16" s="1116"/>
      <c r="D16" s="204" t="s">
        <v>339</v>
      </c>
      <c r="E16" s="3912" t="s">
        <v>839</v>
      </c>
      <c r="F16" s="3480" t="s">
        <v>840</v>
      </c>
      <c r="G16" s="1011"/>
      <c r="H16" s="355"/>
      <c r="I16" s="1011"/>
      <c r="J16" s="355"/>
      <c r="K16" s="1011"/>
      <c r="L16" s="355"/>
      <c r="M16" s="1011"/>
      <c r="N16" s="355"/>
      <c r="O16" s="1011"/>
      <c r="P16" s="355"/>
      <c r="Q16" s="1011"/>
      <c r="R16" s="355"/>
      <c r="S16" s="1011"/>
      <c r="T16" s="355"/>
      <c r="U16" s="1011"/>
      <c r="V16" s="355"/>
      <c r="W16" s="1011"/>
      <c r="X16" s="355"/>
      <c r="Y16" s="1011"/>
      <c r="Z16" s="355"/>
      <c r="AA16" s="3764"/>
      <c r="AB16" s="3982"/>
      <c r="AN16" s="3432">
        <v>0</v>
      </c>
    </row>
    <row customHeight="1" ht="22.5" hidden="1">
      <c r="A17" s="1116"/>
      <c r="D17" s="204" t="s">
        <v>347</v>
      </c>
      <c r="E17" s="3912" t="s">
        <v>841</v>
      </c>
      <c r="F17" s="3480" t="s">
        <v>842</v>
      </c>
      <c r="G17" s="1011"/>
      <c r="H17" s="355"/>
      <c r="I17" s="1011"/>
      <c r="J17" s="355"/>
      <c r="K17" s="1011"/>
      <c r="L17" s="355"/>
      <c r="M17" s="1011"/>
      <c r="N17" s="355"/>
      <c r="O17" s="1011"/>
      <c r="P17" s="355"/>
      <c r="Q17" s="1011"/>
      <c r="R17" s="355"/>
      <c r="S17" s="1011"/>
      <c r="T17" s="355"/>
      <c r="U17" s="1011"/>
      <c r="V17" s="355"/>
      <c r="W17" s="1011"/>
      <c r="X17" s="355"/>
      <c r="Y17" s="1011"/>
      <c r="Z17" s="355"/>
      <c r="AA17" s="3764"/>
      <c r="AB17" s="3982"/>
      <c r="AN17" s="3432">
        <v>0</v>
      </c>
    </row>
    <row customHeight="1" ht="33.75" hidden="1">
      <c r="A18" s="1116"/>
      <c r="D18" s="204" t="s">
        <v>349</v>
      </c>
      <c r="E18" s="3912" t="s">
        <v>843</v>
      </c>
      <c r="F18" s="3480" t="s">
        <v>586</v>
      </c>
      <c r="G18" s="1013"/>
      <c r="H18" s="355"/>
      <c r="I18" s="1013"/>
      <c r="J18" s="355"/>
      <c r="K18" s="1013"/>
      <c r="L18" s="355"/>
      <c r="M18" s="1013"/>
      <c r="N18" s="355"/>
      <c r="O18" s="1013"/>
      <c r="P18" s="355"/>
      <c r="Q18" s="1013"/>
      <c r="R18" s="355"/>
      <c r="S18" s="1013"/>
      <c r="T18" s="355"/>
      <c r="U18" s="1013"/>
      <c r="V18" s="355"/>
      <c r="W18" s="1013"/>
      <c r="X18" s="355"/>
      <c r="Y18" s="1013"/>
      <c r="Z18" s="355"/>
      <c r="AA18" s="3764"/>
      <c r="AB18" s="3982"/>
      <c r="AN18" s="3432">
        <v>0</v>
      </c>
    </row>
    <row customHeight="1" ht="101.25" hidden="1">
      <c r="A19" s="1116"/>
      <c r="D19" s="204" t="s">
        <v>89</v>
      </c>
      <c r="E19" s="3563" t="s">
        <v>844</v>
      </c>
      <c r="F19" s="146" t="s">
        <v>561</v>
      </c>
      <c r="G19" s="413"/>
      <c r="H19" s="1117"/>
      <c r="I19" s="413"/>
      <c r="J19" s="1117"/>
      <c r="K19" s="413"/>
      <c r="L19" s="1117"/>
      <c r="M19" s="413"/>
      <c r="N19" s="1117"/>
      <c r="O19" s="413"/>
      <c r="P19" s="1117"/>
      <c r="Q19" s="413"/>
      <c r="R19" s="1117"/>
      <c r="S19" s="413"/>
      <c r="T19" s="1117"/>
      <c r="U19" s="413"/>
      <c r="V19" s="1117"/>
      <c r="W19" s="413"/>
      <c r="X19" s="1117"/>
      <c r="Y19" s="413"/>
      <c r="Z19" s="1117"/>
      <c r="AA19" s="3764" t="s">
        <v>845</v>
      </c>
      <c r="AB19" s="3982"/>
      <c r="AN19" s="3432">
        <v>0</v>
      </c>
    </row>
    <row customHeight="1" ht="18.75" hidden="1">
      <c r="A20" s="1116"/>
      <c r="D20" s="204" t="s">
        <v>777</v>
      </c>
      <c r="E20" s="3912" t="s">
        <v>846</v>
      </c>
      <c r="F20" s="3480" t="s">
        <v>321</v>
      </c>
      <c r="G20" s="3480" t="s">
        <v>321</v>
      </c>
      <c r="H20" s="3558" t="s">
        <v>321</v>
      </c>
      <c r="I20" s="3480" t="s">
        <v>321</v>
      </c>
      <c r="J20" s="3558" t="s">
        <v>321</v>
      </c>
      <c r="K20" s="3480" t="s">
        <v>321</v>
      </c>
      <c r="L20" s="3558" t="s">
        <v>321</v>
      </c>
      <c r="M20" s="3480" t="s">
        <v>321</v>
      </c>
      <c r="N20" s="3558" t="s">
        <v>321</v>
      </c>
      <c r="O20" s="3480" t="s">
        <v>321</v>
      </c>
      <c r="P20" s="3558" t="s">
        <v>321</v>
      </c>
      <c r="Q20" s="3480" t="s">
        <v>321</v>
      </c>
      <c r="R20" s="3558" t="s">
        <v>321</v>
      </c>
      <c r="S20" s="3480" t="s">
        <v>321</v>
      </c>
      <c r="T20" s="3558" t="s">
        <v>321</v>
      </c>
      <c r="U20" s="3480" t="s">
        <v>321</v>
      </c>
      <c r="V20" s="3558" t="s">
        <v>321</v>
      </c>
      <c r="W20" s="3480" t="s">
        <v>321</v>
      </c>
      <c r="X20" s="3558" t="s">
        <v>321</v>
      </c>
      <c r="Y20" s="3480" t="s">
        <v>321</v>
      </c>
      <c r="Z20" s="3558" t="s">
        <v>321</v>
      </c>
      <c r="AA20" s="3437"/>
      <c r="AB20" s="3982"/>
      <c r="AN20" s="3432">
        <v>0</v>
      </c>
    </row>
    <row customHeight="1" ht="33.75" hidden="1">
      <c r="A21" s="1116"/>
      <c r="D21" s="204" t="s">
        <v>780</v>
      </c>
      <c r="E21" s="3961" t="s">
        <v>847</v>
      </c>
      <c r="F21" s="3480" t="s">
        <v>848</v>
      </c>
      <c r="G21" s="1013"/>
      <c r="H21" s="1119"/>
      <c r="I21" s="1013"/>
      <c r="J21" s="1119"/>
      <c r="K21" s="1013"/>
      <c r="L21" s="1119"/>
      <c r="M21" s="1013"/>
      <c r="N21" s="1119"/>
      <c r="O21" s="1013"/>
      <c r="P21" s="1119"/>
      <c r="Q21" s="1013"/>
      <c r="R21" s="1119"/>
      <c r="S21" s="1013"/>
      <c r="T21" s="1119"/>
      <c r="U21" s="1013"/>
      <c r="V21" s="1119"/>
      <c r="W21" s="1013"/>
      <c r="X21" s="1119"/>
      <c r="Y21" s="1013"/>
      <c r="Z21" s="1119"/>
      <c r="AA21" s="3437"/>
      <c r="AB21" s="3982"/>
      <c r="AN21" s="3432">
        <v>0</v>
      </c>
    </row>
    <row customHeight="1" ht="33.75" hidden="1">
      <c r="A22" s="1116"/>
      <c r="D22" s="204" t="s">
        <v>783</v>
      </c>
      <c r="E22" s="3961" t="s">
        <v>849</v>
      </c>
      <c r="F22" s="3480" t="s">
        <v>850</v>
      </c>
      <c r="G22" s="1013"/>
      <c r="H22" s="1119"/>
      <c r="I22" s="1013"/>
      <c r="J22" s="1119"/>
      <c r="K22" s="1013"/>
      <c r="L22" s="1119"/>
      <c r="M22" s="1013"/>
      <c r="N22" s="1119"/>
      <c r="O22" s="1013"/>
      <c r="P22" s="1119"/>
      <c r="Q22" s="1013"/>
      <c r="R22" s="1119"/>
      <c r="S22" s="1013"/>
      <c r="T22" s="1119"/>
      <c r="U22" s="1013"/>
      <c r="V22" s="1119"/>
      <c r="W22" s="1013"/>
      <c r="X22" s="1119"/>
      <c r="Y22" s="1013"/>
      <c r="Z22" s="1119"/>
      <c r="AA22" s="3437"/>
      <c r="AB22" s="3982"/>
      <c r="AN22" s="3432">
        <v>0</v>
      </c>
    </row>
    <row customHeight="1" ht="22.5" hidden="1">
      <c r="A23" s="1116"/>
      <c r="D23" s="204" t="s">
        <v>818</v>
      </c>
      <c r="E23" s="3912" t="s">
        <v>851</v>
      </c>
      <c r="F23" s="3480" t="s">
        <v>321</v>
      </c>
      <c r="G23" s="3480" t="s">
        <v>321</v>
      </c>
      <c r="H23" s="3558" t="s">
        <v>321</v>
      </c>
      <c r="I23" s="3480" t="s">
        <v>321</v>
      </c>
      <c r="J23" s="3558" t="s">
        <v>321</v>
      </c>
      <c r="K23" s="3480" t="s">
        <v>321</v>
      </c>
      <c r="L23" s="3558" t="s">
        <v>321</v>
      </c>
      <c r="M23" s="3480" t="s">
        <v>321</v>
      </c>
      <c r="N23" s="3558" t="s">
        <v>321</v>
      </c>
      <c r="O23" s="3480" t="s">
        <v>321</v>
      </c>
      <c r="P23" s="3558" t="s">
        <v>321</v>
      </c>
      <c r="Q23" s="3480" t="s">
        <v>321</v>
      </c>
      <c r="R23" s="3558" t="s">
        <v>321</v>
      </c>
      <c r="S23" s="3480" t="s">
        <v>321</v>
      </c>
      <c r="T23" s="3558" t="s">
        <v>321</v>
      </c>
      <c r="U23" s="3480" t="s">
        <v>321</v>
      </c>
      <c r="V23" s="3558" t="s">
        <v>321</v>
      </c>
      <c r="W23" s="3480" t="s">
        <v>321</v>
      </c>
      <c r="X23" s="3558" t="s">
        <v>321</v>
      </c>
      <c r="Y23" s="3480" t="s">
        <v>321</v>
      </c>
      <c r="Z23" s="3558" t="s">
        <v>321</v>
      </c>
      <c r="AA23" s="3437"/>
      <c r="AB23" s="3982"/>
      <c r="AN23" s="3432">
        <v>0</v>
      </c>
    </row>
    <row customHeight="1" ht="22.5" hidden="1">
      <c r="A24" s="1116"/>
      <c r="D24" s="204" t="s">
        <v>852</v>
      </c>
      <c r="E24" s="3961" t="s">
        <v>853</v>
      </c>
      <c r="F24" s="3480" t="s">
        <v>854</v>
      </c>
      <c r="G24" s="1013"/>
      <c r="H24" s="1120"/>
      <c r="I24" s="1013"/>
      <c r="J24" s="1120"/>
      <c r="K24" s="1013"/>
      <c r="L24" s="1120"/>
      <c r="M24" s="1013"/>
      <c r="N24" s="1120"/>
      <c r="O24" s="1013"/>
      <c r="P24" s="1120"/>
      <c r="Q24" s="1013"/>
      <c r="R24" s="1120"/>
      <c r="S24" s="1013"/>
      <c r="T24" s="1120"/>
      <c r="U24" s="1013"/>
      <c r="V24" s="1120"/>
      <c r="W24" s="1013"/>
      <c r="X24" s="1120"/>
      <c r="Y24" s="1013"/>
      <c r="Z24" s="1120"/>
      <c r="AA24" s="3437"/>
      <c r="AB24" s="3982"/>
      <c r="AN24" s="3432">
        <v>0</v>
      </c>
    </row>
    <row customHeight="1" ht="22.5" hidden="1">
      <c r="A25" s="1116"/>
      <c r="D25" s="204" t="s">
        <v>855</v>
      </c>
      <c r="E25" s="3961" t="s">
        <v>856</v>
      </c>
      <c r="F25" s="3480" t="s">
        <v>321</v>
      </c>
      <c r="G25" s="3480" t="s">
        <v>321</v>
      </c>
      <c r="H25" s="3558" t="s">
        <v>321</v>
      </c>
      <c r="I25" s="3480" t="s">
        <v>321</v>
      </c>
      <c r="J25" s="3558" t="s">
        <v>321</v>
      </c>
      <c r="K25" s="3480" t="s">
        <v>321</v>
      </c>
      <c r="L25" s="3558" t="s">
        <v>321</v>
      </c>
      <c r="M25" s="3480" t="s">
        <v>321</v>
      </c>
      <c r="N25" s="3558" t="s">
        <v>321</v>
      </c>
      <c r="O25" s="3480" t="s">
        <v>321</v>
      </c>
      <c r="P25" s="3558" t="s">
        <v>321</v>
      </c>
      <c r="Q25" s="3480" t="s">
        <v>321</v>
      </c>
      <c r="R25" s="3558" t="s">
        <v>321</v>
      </c>
      <c r="S25" s="3480" t="s">
        <v>321</v>
      </c>
      <c r="T25" s="3558" t="s">
        <v>321</v>
      </c>
      <c r="U25" s="3480" t="s">
        <v>321</v>
      </c>
      <c r="V25" s="3558" t="s">
        <v>321</v>
      </c>
      <c r="W25" s="3480" t="s">
        <v>321</v>
      </c>
      <c r="X25" s="3558" t="s">
        <v>321</v>
      </c>
      <c r="Y25" s="3480" t="s">
        <v>321</v>
      </c>
      <c r="Z25" s="3558" t="s">
        <v>321</v>
      </c>
      <c r="AA25" s="3437"/>
      <c r="AB25" s="3982"/>
      <c r="AN25" s="3432">
        <v>0</v>
      </c>
    </row>
    <row customHeight="1" ht="18.75" hidden="1">
      <c r="A26" s="1116"/>
      <c r="D26" s="204" t="s">
        <v>857</v>
      </c>
      <c r="E26" s="3949" t="s">
        <v>858</v>
      </c>
      <c r="F26" s="3480" t="s">
        <v>859</v>
      </c>
      <c r="G26" s="1013"/>
      <c r="H26" s="1018"/>
      <c r="I26" s="1013"/>
      <c r="J26" s="1018"/>
      <c r="K26" s="1013"/>
      <c r="L26" s="1018"/>
      <c r="M26" s="1013"/>
      <c r="N26" s="1018"/>
      <c r="O26" s="1013"/>
      <c r="P26" s="1018"/>
      <c r="Q26" s="1013"/>
      <c r="R26" s="1018"/>
      <c r="S26" s="1013"/>
      <c r="T26" s="1018"/>
      <c r="U26" s="1013"/>
      <c r="V26" s="1018"/>
      <c r="W26" s="1013"/>
      <c r="X26" s="1018"/>
      <c r="Y26" s="1013"/>
      <c r="Z26" s="1018"/>
      <c r="AA26" s="3437"/>
      <c r="AB26" s="3982"/>
      <c r="AN26" s="3432">
        <v>0</v>
      </c>
    </row>
    <row customHeight="1" ht="18.75" hidden="1">
      <c r="A27" s="1116"/>
      <c r="D27" s="204" t="s">
        <v>860</v>
      </c>
      <c r="E27" s="3949" t="s">
        <v>861</v>
      </c>
      <c r="F27" s="3480" t="s">
        <v>862</v>
      </c>
      <c r="G27" s="1013"/>
      <c r="H27" s="1018"/>
      <c r="I27" s="1013"/>
      <c r="J27" s="1018"/>
      <c r="K27" s="1013"/>
      <c r="L27" s="1018"/>
      <c r="M27" s="1013"/>
      <c r="N27" s="1018"/>
      <c r="O27" s="1013"/>
      <c r="P27" s="1018"/>
      <c r="Q27" s="1013"/>
      <c r="R27" s="1018"/>
      <c r="S27" s="1013"/>
      <c r="T27" s="1018"/>
      <c r="U27" s="1013"/>
      <c r="V27" s="1018"/>
      <c r="W27" s="1013"/>
      <c r="X27" s="1018"/>
      <c r="Y27" s="1013"/>
      <c r="Z27" s="1018"/>
      <c r="AA27" s="3437"/>
      <c r="AB27" s="3982"/>
      <c r="AN27" s="3432">
        <v>0</v>
      </c>
    </row>
    <row customHeight="1" ht="18.75" hidden="1">
      <c r="A28" s="1116"/>
      <c r="D28" s="204" t="s">
        <v>863</v>
      </c>
      <c r="E28" s="3961" t="s">
        <v>864</v>
      </c>
      <c r="F28" s="3480" t="s">
        <v>321</v>
      </c>
      <c r="G28" s="3480" t="s">
        <v>321</v>
      </c>
      <c r="H28" s="3558" t="s">
        <v>321</v>
      </c>
      <c r="I28" s="3480" t="s">
        <v>321</v>
      </c>
      <c r="J28" s="3558" t="s">
        <v>321</v>
      </c>
      <c r="K28" s="3480" t="s">
        <v>321</v>
      </c>
      <c r="L28" s="3558" t="s">
        <v>321</v>
      </c>
      <c r="M28" s="3480" t="s">
        <v>321</v>
      </c>
      <c r="N28" s="3558" t="s">
        <v>321</v>
      </c>
      <c r="O28" s="3480" t="s">
        <v>321</v>
      </c>
      <c r="P28" s="3558" t="s">
        <v>321</v>
      </c>
      <c r="Q28" s="3480" t="s">
        <v>321</v>
      </c>
      <c r="R28" s="3558" t="s">
        <v>321</v>
      </c>
      <c r="S28" s="3480" t="s">
        <v>321</v>
      </c>
      <c r="T28" s="3558" t="s">
        <v>321</v>
      </c>
      <c r="U28" s="3480" t="s">
        <v>321</v>
      </c>
      <c r="V28" s="3558" t="s">
        <v>321</v>
      </c>
      <c r="W28" s="3480" t="s">
        <v>321</v>
      </c>
      <c r="X28" s="3558" t="s">
        <v>321</v>
      </c>
      <c r="Y28" s="3480" t="s">
        <v>321</v>
      </c>
      <c r="Z28" s="3558" t="s">
        <v>321</v>
      </c>
      <c r="AA28" s="3437"/>
      <c r="AB28" s="3982"/>
      <c r="AN28" s="3432">
        <v>0</v>
      </c>
    </row>
    <row customHeight="1" ht="18.75" hidden="1">
      <c r="A29" s="1116"/>
      <c r="D29" s="204" t="s">
        <v>865</v>
      </c>
      <c r="E29" s="3949" t="s">
        <v>858</v>
      </c>
      <c r="F29" s="3480" t="s">
        <v>866</v>
      </c>
      <c r="G29" s="1013"/>
      <c r="H29" s="1018"/>
      <c r="I29" s="1013"/>
      <c r="J29" s="1018"/>
      <c r="K29" s="1013"/>
      <c r="L29" s="1018"/>
      <c r="M29" s="1013"/>
      <c r="N29" s="1018"/>
      <c r="O29" s="1013"/>
      <c r="P29" s="1018"/>
      <c r="Q29" s="1013"/>
      <c r="R29" s="1018"/>
      <c r="S29" s="1013"/>
      <c r="T29" s="1018"/>
      <c r="U29" s="1013"/>
      <c r="V29" s="1018"/>
      <c r="W29" s="1013"/>
      <c r="X29" s="1018"/>
      <c r="Y29" s="1013"/>
      <c r="Z29" s="1018"/>
      <c r="AA29" s="3437"/>
      <c r="AB29" s="3982"/>
      <c r="AN29" s="3432">
        <v>0</v>
      </c>
    </row>
    <row customHeight="1" ht="18.75" hidden="1">
      <c r="A30" s="1116"/>
      <c r="D30" s="204" t="s">
        <v>867</v>
      </c>
      <c r="E30" s="3949" t="s">
        <v>868</v>
      </c>
      <c r="F30" s="3480" t="s">
        <v>869</v>
      </c>
      <c r="G30" s="1013"/>
      <c r="H30" s="1018"/>
      <c r="I30" s="1013"/>
      <c r="J30" s="1018"/>
      <c r="K30" s="1013"/>
      <c r="L30" s="1018"/>
      <c r="M30" s="1013"/>
      <c r="N30" s="1018"/>
      <c r="O30" s="1013"/>
      <c r="P30" s="1018"/>
      <c r="Q30" s="1013"/>
      <c r="R30" s="1018"/>
      <c r="S30" s="1013"/>
      <c r="T30" s="1018"/>
      <c r="U30" s="1013"/>
      <c r="V30" s="1018"/>
      <c r="W30" s="1013"/>
      <c r="X30" s="1018"/>
      <c r="Y30" s="1013"/>
      <c r="Z30" s="1018"/>
      <c r="AA30" s="3437"/>
      <c r="AB30" s="3982"/>
      <c r="AN30" s="3432">
        <v>0</v>
      </c>
    </row>
    <row customHeight="1" ht="126.75" hidden="1">
      <c r="A31" s="1116"/>
      <c r="D31" s="204" t="s">
        <v>109</v>
      </c>
      <c r="E31" s="3563" t="s">
        <v>870</v>
      </c>
      <c r="F31" s="146" t="s">
        <v>573</v>
      </c>
      <c r="G31" s="1057"/>
      <c r="H31" s="1117"/>
      <c r="I31" s="1057"/>
      <c r="J31" s="1117"/>
      <c r="K31" s="1057"/>
      <c r="L31" s="1117"/>
      <c r="M31" s="1057"/>
      <c r="N31" s="1117"/>
      <c r="O31" s="1057"/>
      <c r="P31" s="1117"/>
      <c r="Q31" s="1057"/>
      <c r="R31" s="1117"/>
      <c r="S31" s="1057"/>
      <c r="T31" s="1117"/>
      <c r="U31" s="1057"/>
      <c r="V31" s="1117"/>
      <c r="W31" s="1057"/>
      <c r="X31" s="1117"/>
      <c r="Y31" s="1057"/>
      <c r="Z31" s="1117"/>
      <c r="AA31" s="3764" t="s">
        <v>871</v>
      </c>
      <c r="AB31" s="3982"/>
      <c r="AN31" s="3432">
        <v>0</v>
      </c>
    </row>
    <row customHeight="1" ht="56.25" hidden="1">
      <c r="A32" s="1116"/>
      <c r="D32" s="204" t="s">
        <v>90</v>
      </c>
      <c r="E32" s="3563" t="s">
        <v>872</v>
      </c>
      <c r="F32" s="204" t="s">
        <v>842</v>
      </c>
      <c r="G32" s="1057"/>
      <c r="H32" s="1117"/>
      <c r="I32" s="1057"/>
      <c r="J32" s="1117"/>
      <c r="K32" s="1057"/>
      <c r="L32" s="1117"/>
      <c r="M32" s="1057"/>
      <c r="N32" s="1117"/>
      <c r="O32" s="1057"/>
      <c r="P32" s="1117"/>
      <c r="Q32" s="1057"/>
      <c r="R32" s="1117"/>
      <c r="S32" s="1057"/>
      <c r="T32" s="1117"/>
      <c r="U32" s="1057"/>
      <c r="V32" s="1117"/>
      <c r="W32" s="1057"/>
      <c r="X32" s="1117"/>
      <c r="Y32" s="1057"/>
      <c r="Z32" s="1117"/>
      <c r="AA32" s="3764" t="s">
        <v>873</v>
      </c>
      <c r="AB32" s="3982"/>
      <c r="AN32" s="3432">
        <v>0</v>
      </c>
    </row>
    <row customHeight="1" ht="11.25" hidden="1">
      <c r="A33" s="1116"/>
      <c r="AN33" s="3432">
        <v>0</v>
      </c>
    </row>
    <row customHeight="1" ht="12.75" hidden="1">
      <c r="A34" s="1116"/>
      <c r="D34" s="3802">
        <v>1</v>
      </c>
      <c r="E34" s="3698" t="s">
        <v>874</v>
      </c>
      <c r="AN34" s="3432">
        <v>0</v>
      </c>
    </row>
    <row customHeight="1" ht="11.25" hidden="1">
      <c r="A35" s="1116"/>
      <c r="E35" s="3698" t="s">
        <v>875</v>
      </c>
      <c r="AN35" s="3432">
        <v>0</v>
      </c>
    </row>
    <row customHeight="1" ht="11.549999999999999">
      <c r="AN36" s="3432">
        <v>11</v>
      </c>
    </row>
    <row customHeight="1" ht="22.5" hidden="1">
      <c r="A37" s="1116" t="s">
        <v>876</v>
      </c>
      <c r="D37" s="204">
        <v>1</v>
      </c>
      <c r="E37" s="3563" t="s">
        <v>877</v>
      </c>
      <c r="F37" s="146" t="s">
        <v>832</v>
      </c>
      <c r="G37" s="1057"/>
      <c r="H37" s="1121"/>
      <c r="I37" s="1057"/>
      <c r="J37" s="1121"/>
      <c r="K37" s="1057"/>
      <c r="L37" s="1121"/>
      <c r="M37" s="1057"/>
      <c r="N37" s="1121"/>
      <c r="O37" s="1057"/>
      <c r="P37" s="1121"/>
      <c r="Q37" s="1057"/>
      <c r="R37" s="1121"/>
      <c r="S37" s="1057"/>
      <c r="T37" s="1121"/>
      <c r="U37" s="1057"/>
      <c r="V37" s="1121"/>
      <c r="W37" s="1057"/>
      <c r="X37" s="1121"/>
      <c r="Y37" s="1057"/>
      <c r="Z37" s="1121"/>
      <c r="AA37" s="3764" t="s">
        <v>878</v>
      </c>
      <c r="AN37" s="3432">
        <v>0</v>
      </c>
    </row>
    <row customHeight="1" ht="22.5" hidden="1">
      <c r="A38" s="1116"/>
      <c r="D38" s="1122" t="s">
        <v>108</v>
      </c>
      <c r="E38" s="3983" t="s">
        <v>879</v>
      </c>
      <c r="F38" s="1124" t="s">
        <v>561</v>
      </c>
      <c r="G38" s="1124" t="s">
        <v>561</v>
      </c>
      <c r="H38" s="1125"/>
      <c r="I38" s="1124" t="s">
        <v>561</v>
      </c>
      <c r="J38" s="1125"/>
      <c r="K38" s="1124" t="s">
        <v>561</v>
      </c>
      <c r="L38" s="1125"/>
      <c r="M38" s="1124" t="s">
        <v>561</v>
      </c>
      <c r="N38" s="1125"/>
      <c r="O38" s="1124" t="s">
        <v>561</v>
      </c>
      <c r="P38" s="1125"/>
      <c r="Q38" s="1124" t="s">
        <v>561</v>
      </c>
      <c r="R38" s="1125"/>
      <c r="S38" s="1124" t="s">
        <v>561</v>
      </c>
      <c r="T38" s="1125"/>
      <c r="U38" s="1124" t="s">
        <v>561</v>
      </c>
      <c r="V38" s="1125"/>
      <c r="W38" s="1124" t="s">
        <v>561</v>
      </c>
      <c r="X38" s="1125"/>
      <c r="Y38" s="1124" t="s">
        <v>561</v>
      </c>
      <c r="Z38" s="1125"/>
      <c r="AA38" s="3798"/>
      <c r="AN38" s="3432">
        <v>0</v>
      </c>
    </row>
    <row customHeight="1" ht="33.75" hidden="1">
      <c r="A39" s="1116"/>
      <c r="D39" s="1126" t="s">
        <v>735</v>
      </c>
      <c r="E39" s="3984" t="s">
        <v>880</v>
      </c>
      <c r="F39" s="146" t="s">
        <v>881</v>
      </c>
      <c r="G39" s="656"/>
      <c r="H39" s="1128"/>
      <c r="I39" s="656"/>
      <c r="J39" s="1128"/>
      <c r="K39" s="656"/>
      <c r="L39" s="1128"/>
      <c r="M39" s="656"/>
      <c r="N39" s="1128"/>
      <c r="O39" s="656"/>
      <c r="P39" s="1128"/>
      <c r="Q39" s="656"/>
      <c r="R39" s="1128"/>
      <c r="S39" s="656"/>
      <c r="T39" s="1128"/>
      <c r="U39" s="656"/>
      <c r="V39" s="1128"/>
      <c r="W39" s="656"/>
      <c r="X39" s="1128"/>
      <c r="Y39" s="656"/>
      <c r="Z39" s="1128"/>
      <c r="AA39" s="3764" t="s">
        <v>882</v>
      </c>
      <c r="AN39" s="3432">
        <v>0</v>
      </c>
    </row>
    <row customHeight="1" ht="33.75" hidden="1">
      <c r="A40" s="1116"/>
      <c r="D40" s="1126" t="s">
        <v>738</v>
      </c>
      <c r="E40" s="3984" t="s">
        <v>883</v>
      </c>
      <c r="F40" s="1129" t="s">
        <v>884</v>
      </c>
      <c r="G40" s="1130"/>
      <c r="H40" s="1128"/>
      <c r="I40" s="1130"/>
      <c r="J40" s="1128"/>
      <c r="K40" s="1130"/>
      <c r="L40" s="1128"/>
      <c r="M40" s="1130"/>
      <c r="N40" s="1128"/>
      <c r="O40" s="1130"/>
      <c r="P40" s="1128"/>
      <c r="Q40" s="1130"/>
      <c r="R40" s="1128"/>
      <c r="S40" s="1130"/>
      <c r="T40" s="1128"/>
      <c r="U40" s="1130"/>
      <c r="V40" s="1128"/>
      <c r="W40" s="1130"/>
      <c r="X40" s="1128"/>
      <c r="Y40" s="1130"/>
      <c r="Z40" s="1128"/>
      <c r="AA40" s="3764" t="s">
        <v>885</v>
      </c>
      <c r="AN40" s="3432">
        <v>0</v>
      </c>
    </row>
    <row customHeight="1" ht="22.5" hidden="1">
      <c r="A41" s="1116"/>
      <c r="D41" s="1126" t="s">
        <v>88</v>
      </c>
      <c r="E41" s="3985" t="s">
        <v>886</v>
      </c>
      <c r="F41" s="146" t="s">
        <v>561</v>
      </c>
      <c r="G41" s="146" t="s">
        <v>561</v>
      </c>
      <c r="H41" s="1132"/>
      <c r="I41" s="146" t="s">
        <v>561</v>
      </c>
      <c r="J41" s="1132"/>
      <c r="K41" s="146" t="s">
        <v>561</v>
      </c>
      <c r="L41" s="1132"/>
      <c r="M41" s="146" t="s">
        <v>561</v>
      </c>
      <c r="N41" s="1132"/>
      <c r="O41" s="146" t="s">
        <v>561</v>
      </c>
      <c r="P41" s="1132"/>
      <c r="Q41" s="146" t="s">
        <v>561</v>
      </c>
      <c r="R41" s="1132"/>
      <c r="S41" s="146" t="s">
        <v>561</v>
      </c>
      <c r="T41" s="1132"/>
      <c r="U41" s="146" t="s">
        <v>561</v>
      </c>
      <c r="V41" s="1132"/>
      <c r="W41" s="146" t="s">
        <v>561</v>
      </c>
      <c r="X41" s="1132"/>
      <c r="Y41" s="146" t="s">
        <v>561</v>
      </c>
      <c r="Z41" s="1132"/>
      <c r="AA41" s="3852"/>
      <c r="AN41" s="3432">
        <v>0</v>
      </c>
    </row>
    <row customHeight="1" ht="45" hidden="1">
      <c r="A42" s="1116"/>
      <c r="D42" s="1126" t="s">
        <v>339</v>
      </c>
      <c r="E42" s="3984" t="s">
        <v>887</v>
      </c>
      <c r="F42" s="146" t="s">
        <v>573</v>
      </c>
      <c r="G42" s="1057"/>
      <c r="H42" s="1132"/>
      <c r="I42" s="1057"/>
      <c r="J42" s="1132"/>
      <c r="K42" s="1057"/>
      <c r="L42" s="1132"/>
      <c r="M42" s="1057"/>
      <c r="N42" s="1132"/>
      <c r="O42" s="1057"/>
      <c r="P42" s="1132"/>
      <c r="Q42" s="1057"/>
      <c r="R42" s="1132"/>
      <c r="S42" s="1057"/>
      <c r="T42" s="1132"/>
      <c r="U42" s="1057"/>
      <c r="V42" s="1132"/>
      <c r="W42" s="1057"/>
      <c r="X42" s="1132"/>
      <c r="Y42" s="1057"/>
      <c r="Z42" s="1132"/>
      <c r="AA42" s="3852" t="s">
        <v>888</v>
      </c>
      <c r="AN42" s="3432">
        <v>0</v>
      </c>
    </row>
    <row customHeight="1" ht="45" hidden="1">
      <c r="A43" s="1116"/>
      <c r="D43" s="1126" t="s">
        <v>347</v>
      </c>
      <c r="E43" s="3986" t="s">
        <v>889</v>
      </c>
      <c r="F43" s="1134" t="s">
        <v>573</v>
      </c>
      <c r="G43" s="1084"/>
      <c r="H43" s="1128"/>
      <c r="I43" s="1084"/>
      <c r="J43" s="1128"/>
      <c r="K43" s="1084"/>
      <c r="L43" s="1128"/>
      <c r="M43" s="1084"/>
      <c r="N43" s="1128"/>
      <c r="O43" s="1084"/>
      <c r="P43" s="1128"/>
      <c r="Q43" s="1084"/>
      <c r="R43" s="1128"/>
      <c r="S43" s="1084"/>
      <c r="T43" s="1128"/>
      <c r="U43" s="1084"/>
      <c r="V43" s="1128"/>
      <c r="W43" s="1084"/>
      <c r="X43" s="1128"/>
      <c r="Y43" s="1084"/>
      <c r="Z43" s="1128"/>
      <c r="AA43" s="3852" t="s">
        <v>890</v>
      </c>
      <c r="AN43" s="3432">
        <v>0</v>
      </c>
    </row>
    <row customHeight="1" ht="11.25" hidden="1">
      <c r="A44" s="1116"/>
      <c r="D44" s="1126" t="s">
        <v>89</v>
      </c>
      <c r="E44" s="3987" t="s">
        <v>891</v>
      </c>
      <c r="F44" s="146" t="s">
        <v>881</v>
      </c>
      <c r="G44" s="656"/>
      <c r="H44" s="1128"/>
      <c r="I44" s="656"/>
      <c r="J44" s="1128"/>
      <c r="K44" s="656"/>
      <c r="L44" s="1128"/>
      <c r="M44" s="656"/>
      <c r="N44" s="1128"/>
      <c r="O44" s="656"/>
      <c r="P44" s="1128"/>
      <c r="Q44" s="656"/>
      <c r="R44" s="1128"/>
      <c r="S44" s="656"/>
      <c r="T44" s="1128"/>
      <c r="U44" s="656"/>
      <c r="V44" s="1128"/>
      <c r="W44" s="656"/>
      <c r="X44" s="1128"/>
      <c r="Y44" s="656"/>
      <c r="Z44" s="1128"/>
      <c r="AA44" s="3764"/>
      <c r="AN44" s="3432">
        <v>0</v>
      </c>
    </row>
    <row customHeight="1" ht="11.25" hidden="1">
      <c r="A45" s="1116"/>
      <c r="D45" s="1126" t="s">
        <v>777</v>
      </c>
      <c r="E45" s="3986" t="s">
        <v>892</v>
      </c>
      <c r="F45" s="146" t="s">
        <v>881</v>
      </c>
      <c r="G45" s="656"/>
      <c r="H45" s="1128"/>
      <c r="I45" s="656"/>
      <c r="J45" s="1128"/>
      <c r="K45" s="656"/>
      <c r="L45" s="1128"/>
      <c r="M45" s="656"/>
      <c r="N45" s="1128"/>
      <c r="O45" s="656"/>
      <c r="P45" s="1128"/>
      <c r="Q45" s="656"/>
      <c r="R45" s="1128"/>
      <c r="S45" s="656"/>
      <c r="T45" s="1128"/>
      <c r="U45" s="656"/>
      <c r="V45" s="1128"/>
      <c r="W45" s="656"/>
      <c r="X45" s="1128"/>
      <c r="Y45" s="656"/>
      <c r="Z45" s="1128"/>
      <c r="AA45" s="3764"/>
      <c r="AN45" s="3432">
        <v>0</v>
      </c>
    </row>
    <row customHeight="1" ht="11.25" hidden="1">
      <c r="A46" s="1116"/>
      <c r="D46" s="1126" t="s">
        <v>818</v>
      </c>
      <c r="E46" s="3986" t="s">
        <v>893</v>
      </c>
      <c r="F46" s="146" t="s">
        <v>881</v>
      </c>
      <c r="G46" s="656"/>
      <c r="H46" s="1128"/>
      <c r="I46" s="656"/>
      <c r="J46" s="1128"/>
      <c r="K46" s="656"/>
      <c r="L46" s="1128"/>
      <c r="M46" s="656"/>
      <c r="N46" s="1128"/>
      <c r="O46" s="656"/>
      <c r="P46" s="1128"/>
      <c r="Q46" s="656"/>
      <c r="R46" s="1128"/>
      <c r="S46" s="656"/>
      <c r="T46" s="1128"/>
      <c r="U46" s="656"/>
      <c r="V46" s="1128"/>
      <c r="W46" s="656"/>
      <c r="X46" s="1128"/>
      <c r="Y46" s="656"/>
      <c r="Z46" s="1128"/>
      <c r="AA46" s="3764"/>
      <c r="AN46" s="3432">
        <v>0</v>
      </c>
    </row>
    <row customHeight="1" ht="11.25" hidden="1">
      <c r="A47" s="1116"/>
      <c r="D47" s="1126" t="s">
        <v>821</v>
      </c>
      <c r="E47" s="3986" t="s">
        <v>894</v>
      </c>
      <c r="F47" s="146" t="s">
        <v>881</v>
      </c>
      <c r="G47" s="656"/>
      <c r="H47" s="1128"/>
      <c r="I47" s="656"/>
      <c r="J47" s="1128"/>
      <c r="K47" s="656"/>
      <c r="L47" s="1128"/>
      <c r="M47" s="656"/>
      <c r="N47" s="1128"/>
      <c r="O47" s="656"/>
      <c r="P47" s="1128"/>
      <c r="Q47" s="656"/>
      <c r="R47" s="1128"/>
      <c r="S47" s="656"/>
      <c r="T47" s="1128"/>
      <c r="U47" s="656"/>
      <c r="V47" s="1128"/>
      <c r="W47" s="656"/>
      <c r="X47" s="1128"/>
      <c r="Y47" s="656"/>
      <c r="Z47" s="1128"/>
      <c r="AA47" s="3764"/>
      <c r="AN47" s="3432">
        <v>0</v>
      </c>
    </row>
    <row customHeight="1" ht="11.25" hidden="1">
      <c r="A48" s="1116"/>
      <c r="D48" s="1126" t="s">
        <v>895</v>
      </c>
      <c r="E48" s="3988" t="s">
        <v>896</v>
      </c>
      <c r="F48" s="146" t="s">
        <v>881</v>
      </c>
      <c r="G48" s="656"/>
      <c r="H48" s="1128"/>
      <c r="I48" s="656"/>
      <c r="J48" s="1128"/>
      <c r="K48" s="656"/>
      <c r="L48" s="1128"/>
      <c r="M48" s="656"/>
      <c r="N48" s="1128"/>
      <c r="O48" s="656"/>
      <c r="P48" s="1128"/>
      <c r="Q48" s="656"/>
      <c r="R48" s="1128"/>
      <c r="S48" s="656"/>
      <c r="T48" s="1128"/>
      <c r="U48" s="656"/>
      <c r="V48" s="1128"/>
      <c r="W48" s="656"/>
      <c r="X48" s="1128"/>
      <c r="Y48" s="656"/>
      <c r="Z48" s="1128"/>
      <c r="AA48" s="3764"/>
      <c r="AN48" s="3432">
        <v>0</v>
      </c>
    </row>
    <row customHeight="1" ht="11.25" hidden="1">
      <c r="A49" s="1116"/>
      <c r="D49" s="1126" t="s">
        <v>897</v>
      </c>
      <c r="E49" s="3988" t="s">
        <v>898</v>
      </c>
      <c r="F49" s="146" t="s">
        <v>881</v>
      </c>
      <c r="G49" s="656"/>
      <c r="H49" s="1128"/>
      <c r="I49" s="656"/>
      <c r="J49" s="1128"/>
      <c r="K49" s="656"/>
      <c r="L49" s="1128"/>
      <c r="M49" s="656"/>
      <c r="N49" s="1128"/>
      <c r="O49" s="656"/>
      <c r="P49" s="1128"/>
      <c r="Q49" s="656"/>
      <c r="R49" s="1128"/>
      <c r="S49" s="656"/>
      <c r="T49" s="1128"/>
      <c r="U49" s="656"/>
      <c r="V49" s="1128"/>
      <c r="W49" s="656"/>
      <c r="X49" s="1128"/>
      <c r="Y49" s="656"/>
      <c r="Z49" s="1128"/>
      <c r="AA49" s="3764"/>
      <c r="AN49" s="3432">
        <v>0</v>
      </c>
    </row>
    <row customHeight="1" ht="11.25" hidden="1">
      <c r="A50" s="1116"/>
      <c r="D50" s="1126" t="s">
        <v>899</v>
      </c>
      <c r="E50" s="3986" t="s">
        <v>900</v>
      </c>
      <c r="F50" s="146" t="s">
        <v>881</v>
      </c>
      <c r="G50" s="656"/>
      <c r="H50" s="1128"/>
      <c r="I50" s="656"/>
      <c r="J50" s="1128"/>
      <c r="K50" s="656"/>
      <c r="L50" s="1128"/>
      <c r="M50" s="656"/>
      <c r="N50" s="1128"/>
      <c r="O50" s="656"/>
      <c r="P50" s="1128"/>
      <c r="Q50" s="656"/>
      <c r="R50" s="1128"/>
      <c r="S50" s="656"/>
      <c r="T50" s="1128"/>
      <c r="U50" s="656"/>
      <c r="V50" s="1128"/>
      <c r="W50" s="656"/>
      <c r="X50" s="1128"/>
      <c r="Y50" s="656"/>
      <c r="Z50" s="1128"/>
      <c r="AA50" s="3764"/>
      <c r="AN50" s="3432">
        <v>0</v>
      </c>
    </row>
    <row customHeight="1" ht="11.25" hidden="1">
      <c r="A51" s="1116"/>
      <c r="D51" s="1126" t="s">
        <v>901</v>
      </c>
      <c r="E51" s="3986" t="s">
        <v>902</v>
      </c>
      <c r="F51" s="146" t="s">
        <v>881</v>
      </c>
      <c r="G51" s="656"/>
      <c r="H51" s="1128"/>
      <c r="I51" s="656"/>
      <c r="J51" s="1128"/>
      <c r="K51" s="656"/>
      <c r="L51" s="1128"/>
      <c r="M51" s="656"/>
      <c r="N51" s="1128"/>
      <c r="O51" s="656"/>
      <c r="P51" s="1128"/>
      <c r="Q51" s="656"/>
      <c r="R51" s="1128"/>
      <c r="S51" s="656"/>
      <c r="T51" s="1128"/>
      <c r="U51" s="656"/>
      <c r="V51" s="1128"/>
      <c r="W51" s="656"/>
      <c r="X51" s="1128"/>
      <c r="Y51" s="656"/>
      <c r="Z51" s="1128"/>
      <c r="AA51" s="3764"/>
      <c r="AN51" s="3432">
        <v>0</v>
      </c>
    </row>
    <row customHeight="1" ht="45" hidden="1">
      <c r="A52" s="1116"/>
      <c r="D52" s="1126" t="s">
        <v>109</v>
      </c>
      <c r="E52" s="3987" t="s">
        <v>903</v>
      </c>
      <c r="F52" s="146" t="s">
        <v>881</v>
      </c>
      <c r="G52" s="656"/>
      <c r="H52" s="1128"/>
      <c r="I52" s="656"/>
      <c r="J52" s="1128"/>
      <c r="K52" s="656"/>
      <c r="L52" s="1128"/>
      <c r="M52" s="656"/>
      <c r="N52" s="1128"/>
      <c r="O52" s="656"/>
      <c r="P52" s="1128"/>
      <c r="Q52" s="656"/>
      <c r="R52" s="1128"/>
      <c r="S52" s="656"/>
      <c r="T52" s="1128"/>
      <c r="U52" s="656"/>
      <c r="V52" s="1128"/>
      <c r="W52" s="656"/>
      <c r="X52" s="1128"/>
      <c r="Y52" s="656"/>
      <c r="Z52" s="1128"/>
      <c r="AA52" s="3764"/>
      <c r="AN52" s="3432">
        <v>0</v>
      </c>
    </row>
    <row customHeight="1" ht="11.25" hidden="1">
      <c r="A53" s="1116"/>
      <c r="D53" s="1126" t="s">
        <v>328</v>
      </c>
      <c r="E53" s="3986" t="s">
        <v>892</v>
      </c>
      <c r="F53" s="146" t="s">
        <v>881</v>
      </c>
      <c r="G53" s="656"/>
      <c r="H53" s="1128"/>
      <c r="I53" s="656"/>
      <c r="J53" s="1128"/>
      <c r="K53" s="656"/>
      <c r="L53" s="1128"/>
      <c r="M53" s="656"/>
      <c r="N53" s="1128"/>
      <c r="O53" s="656"/>
      <c r="P53" s="1128"/>
      <c r="Q53" s="656"/>
      <c r="R53" s="1128"/>
      <c r="S53" s="656"/>
      <c r="T53" s="1128"/>
      <c r="U53" s="656"/>
      <c r="V53" s="1128"/>
      <c r="W53" s="656"/>
      <c r="X53" s="1128"/>
      <c r="Y53" s="656"/>
      <c r="Z53" s="1128"/>
      <c r="AA53" s="3764"/>
      <c r="AN53" s="3432">
        <v>0</v>
      </c>
    </row>
    <row customHeight="1" ht="11.25" hidden="1">
      <c r="A54" s="1116"/>
      <c r="D54" s="1126" t="s">
        <v>904</v>
      </c>
      <c r="E54" s="3986" t="s">
        <v>893</v>
      </c>
      <c r="F54" s="146" t="s">
        <v>881</v>
      </c>
      <c r="G54" s="656"/>
      <c r="H54" s="1128"/>
      <c r="I54" s="656"/>
      <c r="J54" s="1128"/>
      <c r="K54" s="656"/>
      <c r="L54" s="1128"/>
      <c r="M54" s="656"/>
      <c r="N54" s="1128"/>
      <c r="O54" s="656"/>
      <c r="P54" s="1128"/>
      <c r="Q54" s="656"/>
      <c r="R54" s="1128"/>
      <c r="S54" s="656"/>
      <c r="T54" s="1128"/>
      <c r="U54" s="656"/>
      <c r="V54" s="1128"/>
      <c r="W54" s="656"/>
      <c r="X54" s="1128"/>
      <c r="Y54" s="656"/>
      <c r="Z54" s="1128"/>
      <c r="AA54" s="3764"/>
      <c r="AN54" s="3432">
        <v>0</v>
      </c>
    </row>
    <row customHeight="1" ht="11.25" hidden="1">
      <c r="A55" s="1116"/>
      <c r="D55" s="1126" t="s">
        <v>905</v>
      </c>
      <c r="E55" s="3986" t="s">
        <v>894</v>
      </c>
      <c r="F55" s="146" t="s">
        <v>881</v>
      </c>
      <c r="G55" s="656"/>
      <c r="H55" s="1128"/>
      <c r="I55" s="656"/>
      <c r="J55" s="1128"/>
      <c r="K55" s="656"/>
      <c r="L55" s="1128"/>
      <c r="M55" s="656"/>
      <c r="N55" s="1128"/>
      <c r="O55" s="656"/>
      <c r="P55" s="1128"/>
      <c r="Q55" s="656"/>
      <c r="R55" s="1128"/>
      <c r="S55" s="656"/>
      <c r="T55" s="1128"/>
      <c r="U55" s="656"/>
      <c r="V55" s="1128"/>
      <c r="W55" s="656"/>
      <c r="X55" s="1128"/>
      <c r="Y55" s="656"/>
      <c r="Z55" s="1128"/>
      <c r="AA55" s="3764"/>
      <c r="AN55" s="3432">
        <v>0</v>
      </c>
    </row>
    <row customHeight="1" ht="11.25" hidden="1">
      <c r="A56" s="1116"/>
      <c r="D56" s="1126" t="s">
        <v>906</v>
      </c>
      <c r="E56" s="3988" t="s">
        <v>896</v>
      </c>
      <c r="F56" s="146" t="s">
        <v>881</v>
      </c>
      <c r="G56" s="656"/>
      <c r="H56" s="1128"/>
      <c r="I56" s="656"/>
      <c r="J56" s="1128"/>
      <c r="K56" s="656"/>
      <c r="L56" s="1128"/>
      <c r="M56" s="656"/>
      <c r="N56" s="1128"/>
      <c r="O56" s="656"/>
      <c r="P56" s="1128"/>
      <c r="Q56" s="656"/>
      <c r="R56" s="1128"/>
      <c r="S56" s="656"/>
      <c r="T56" s="1128"/>
      <c r="U56" s="656"/>
      <c r="V56" s="1128"/>
      <c r="W56" s="656"/>
      <c r="X56" s="1128"/>
      <c r="Y56" s="656"/>
      <c r="Z56" s="1128"/>
      <c r="AA56" s="3764"/>
      <c r="AN56" s="3432">
        <v>0</v>
      </c>
    </row>
    <row customHeight="1" ht="11.25" hidden="1">
      <c r="A57" s="1116"/>
      <c r="D57" s="1126" t="s">
        <v>907</v>
      </c>
      <c r="E57" s="3988" t="s">
        <v>898</v>
      </c>
      <c r="F57" s="146" t="s">
        <v>881</v>
      </c>
      <c r="G57" s="656"/>
      <c r="H57" s="1128"/>
      <c r="I57" s="656"/>
      <c r="J57" s="1128"/>
      <c r="K57" s="656"/>
      <c r="L57" s="1128"/>
      <c r="M57" s="656"/>
      <c r="N57" s="1128"/>
      <c r="O57" s="656"/>
      <c r="P57" s="1128"/>
      <c r="Q57" s="656"/>
      <c r="R57" s="1128"/>
      <c r="S57" s="656"/>
      <c r="T57" s="1128"/>
      <c r="U57" s="656"/>
      <c r="V57" s="1128"/>
      <c r="W57" s="656"/>
      <c r="X57" s="1128"/>
      <c r="Y57" s="656"/>
      <c r="Z57" s="1128"/>
      <c r="AA57" s="3764"/>
      <c r="AN57" s="3432">
        <v>0</v>
      </c>
    </row>
    <row customHeight="1" ht="11.25" hidden="1">
      <c r="A58" s="1116"/>
      <c r="D58" s="1126" t="s">
        <v>908</v>
      </c>
      <c r="E58" s="3986" t="s">
        <v>900</v>
      </c>
      <c r="F58" s="146" t="s">
        <v>881</v>
      </c>
      <c r="G58" s="656"/>
      <c r="H58" s="1128"/>
      <c r="I58" s="656"/>
      <c r="J58" s="1128"/>
      <c r="K58" s="656"/>
      <c r="L58" s="1128"/>
      <c r="M58" s="656"/>
      <c r="N58" s="1128"/>
      <c r="O58" s="656"/>
      <c r="P58" s="1128"/>
      <c r="Q58" s="656"/>
      <c r="R58" s="1128"/>
      <c r="S58" s="656"/>
      <c r="T58" s="1128"/>
      <c r="U58" s="656"/>
      <c r="V58" s="1128"/>
      <c r="W58" s="656"/>
      <c r="X58" s="1128"/>
      <c r="Y58" s="656"/>
      <c r="Z58" s="1128"/>
      <c r="AA58" s="3764"/>
      <c r="AN58" s="3432">
        <v>0</v>
      </c>
    </row>
    <row customHeight="1" ht="11.25" hidden="1">
      <c r="A59" s="1116"/>
      <c r="D59" s="1126" t="s">
        <v>909</v>
      </c>
      <c r="E59" s="3986" t="s">
        <v>902</v>
      </c>
      <c r="F59" s="146" t="s">
        <v>881</v>
      </c>
      <c r="G59" s="656"/>
      <c r="H59" s="1128"/>
      <c r="I59" s="656"/>
      <c r="J59" s="1128"/>
      <c r="K59" s="656"/>
      <c r="L59" s="1128"/>
      <c r="M59" s="656"/>
      <c r="N59" s="1128"/>
      <c r="O59" s="656"/>
      <c r="P59" s="1128"/>
      <c r="Q59" s="656"/>
      <c r="R59" s="1128"/>
      <c r="S59" s="656"/>
      <c r="T59" s="1128"/>
      <c r="U59" s="656"/>
      <c r="V59" s="1128"/>
      <c r="W59" s="656"/>
      <c r="X59" s="1128"/>
      <c r="Y59" s="656"/>
      <c r="Z59" s="1128"/>
      <c r="AA59" s="3764"/>
      <c r="AN59" s="3432">
        <v>0</v>
      </c>
    </row>
    <row customHeight="1" ht="33.75" hidden="1">
      <c r="A60" s="1116"/>
      <c r="D60" s="1126" t="s">
        <v>90</v>
      </c>
      <c r="E60" s="3987" t="s">
        <v>910</v>
      </c>
      <c r="F60" s="1137" t="s">
        <v>573</v>
      </c>
      <c r="G60" s="1084"/>
      <c r="H60" s="1128"/>
      <c r="I60" s="1084"/>
      <c r="J60" s="1128"/>
      <c r="K60" s="1084"/>
      <c r="L60" s="1128"/>
      <c r="M60" s="1084"/>
      <c r="N60" s="1128"/>
      <c r="O60" s="1084"/>
      <c r="P60" s="1128"/>
      <c r="Q60" s="1084"/>
      <c r="R60" s="1128"/>
      <c r="S60" s="1084"/>
      <c r="T60" s="1128"/>
      <c r="U60" s="1084"/>
      <c r="V60" s="1128"/>
      <c r="W60" s="1084"/>
      <c r="X60" s="1128"/>
      <c r="Y60" s="1084"/>
      <c r="Z60" s="1128"/>
      <c r="AA60" s="3852" t="s">
        <v>911</v>
      </c>
      <c r="AN60" s="3432">
        <v>0</v>
      </c>
    </row>
    <row customHeight="1" ht="33.75" hidden="1">
      <c r="A61" s="1116"/>
      <c r="D61" s="1126" t="s">
        <v>91</v>
      </c>
      <c r="E61" s="3987" t="s">
        <v>912</v>
      </c>
      <c r="F61" s="1138" t="s">
        <v>842</v>
      </c>
      <c r="G61" s="656"/>
      <c r="H61" s="1128"/>
      <c r="I61" s="656"/>
      <c r="J61" s="1128"/>
      <c r="K61" s="656"/>
      <c r="L61" s="1128"/>
      <c r="M61" s="656"/>
      <c r="N61" s="1128"/>
      <c r="O61" s="656"/>
      <c r="P61" s="1128"/>
      <c r="Q61" s="656"/>
      <c r="R61" s="1128"/>
      <c r="S61" s="656"/>
      <c r="T61" s="1128"/>
      <c r="U61" s="656"/>
      <c r="V61" s="1128"/>
      <c r="W61" s="656"/>
      <c r="X61" s="1128"/>
      <c r="Y61" s="656"/>
      <c r="Z61" s="1128"/>
      <c r="AA61" s="3764"/>
      <c r="AN61" s="3432">
        <v>0</v>
      </c>
    </row>
    <row customHeight="1" ht="22.5" hidden="1">
      <c r="A62" s="1116"/>
      <c r="B62" s="3473" t="s">
        <v>604</v>
      </c>
      <c r="D62" s="1126" t="s">
        <v>110</v>
      </c>
      <c r="E62" s="3987" t="s">
        <v>913</v>
      </c>
      <c r="F62" s="1138" t="s">
        <v>321</v>
      </c>
      <c r="G62" s="431"/>
      <c r="H62" s="1128"/>
      <c r="I62" s="431"/>
      <c r="J62" s="1128"/>
      <c r="K62" s="431"/>
      <c r="L62" s="1128"/>
      <c r="M62" s="431"/>
      <c r="N62" s="1128"/>
      <c r="O62" s="431"/>
      <c r="P62" s="1128"/>
      <c r="Q62" s="431"/>
      <c r="R62" s="1128"/>
      <c r="S62" s="431"/>
      <c r="T62" s="1128"/>
      <c r="U62" s="431"/>
      <c r="V62" s="1128"/>
      <c r="W62" s="431"/>
      <c r="X62" s="1128"/>
      <c r="Y62" s="431"/>
      <c r="Z62" s="1128"/>
      <c r="AA62" s="3764" t="s">
        <v>655</v>
      </c>
      <c r="AN62" s="3432">
        <v>0</v>
      </c>
    </row>
    <row customHeight="1" ht="45" hidden="1">
      <c r="A63" s="1116"/>
      <c r="B63" s="3473" t="s">
        <v>604</v>
      </c>
      <c r="D63" s="1126" t="s">
        <v>914</v>
      </c>
      <c r="E63" s="3986" t="s">
        <v>915</v>
      </c>
      <c r="F63" s="1137" t="s">
        <v>321</v>
      </c>
      <c r="G63" s="431"/>
      <c r="H63" s="1128"/>
      <c r="I63" s="431"/>
      <c r="J63" s="1128"/>
      <c r="K63" s="431"/>
      <c r="L63" s="1128"/>
      <c r="M63" s="431"/>
      <c r="N63" s="1128"/>
      <c r="O63" s="431"/>
      <c r="P63" s="1128"/>
      <c r="Q63" s="431"/>
      <c r="R63" s="1128"/>
      <c r="S63" s="431"/>
      <c r="T63" s="1128"/>
      <c r="U63" s="431"/>
      <c r="V63" s="1128"/>
      <c r="W63" s="431"/>
      <c r="X63" s="1128"/>
      <c r="Y63" s="431"/>
      <c r="Z63" s="1128"/>
      <c r="AA63" s="3764" t="s">
        <v>655</v>
      </c>
      <c r="AN63" s="3432">
        <v>0</v>
      </c>
    </row>
    <row customHeight="1" ht="11.549999999999999">
      <c r="AN64" s="3432">
        <v>11</v>
      </c>
    </row>
    <row customHeight="1" ht="22.5">
      <c r="A65" s="1116" t="s">
        <v>916</v>
      </c>
      <c r="D65" s="1126">
        <v>1</v>
      </c>
      <c r="E65" s="3989" t="s">
        <v>917</v>
      </c>
      <c r="F65" s="1140" t="s">
        <v>832</v>
      </c>
      <c r="G65" s="1130"/>
      <c r="H65" s="1141"/>
      <c r="I65" s="1130">
        <v>1.52</v>
      </c>
      <c r="J65" s="1141"/>
      <c r="K65" s="1130">
        <v>89.04</v>
      </c>
      <c r="L65" s="1141"/>
      <c r="M65" s="1130">
        <v>6.46</v>
      </c>
      <c r="N65" s="1141"/>
      <c r="O65" s="1130">
        <v>1.64</v>
      </c>
      <c r="P65" s="1141"/>
      <c r="Q65" s="1130">
        <v>1.6</v>
      </c>
      <c r="R65" s="1141"/>
      <c r="S65" s="1130">
        <v>1.43</v>
      </c>
      <c r="T65" s="1141"/>
      <c r="U65" s="1130">
        <v>12.73</v>
      </c>
      <c r="V65" s="1141"/>
      <c r="W65" s="1130">
        <v>12.82</v>
      </c>
      <c r="X65" s="1141"/>
      <c r="Y65" s="1130">
        <v>0</v>
      </c>
      <c r="Z65" s="1141"/>
      <c r="AA65" s="3793" t="s">
        <v>918</v>
      </c>
      <c r="AN65" s="3432">
        <v>0</v>
      </c>
    </row>
    <row customHeight="1" ht="95">
      <c r="A66" s="1116"/>
      <c r="D66" s="1142" t="s">
        <v>108</v>
      </c>
      <c r="E66" s="3563" t="s">
        <v>919</v>
      </c>
      <c r="F66" s="146" t="s">
        <v>561</v>
      </c>
      <c r="G66" s="146" t="s">
        <v>561</v>
      </c>
      <c r="H66" s="1121"/>
      <c r="I66" s="146" t="s">
        <v>561</v>
      </c>
      <c r="J66" s="1121"/>
      <c r="K66" s="146" t="s">
        <v>561</v>
      </c>
      <c r="L66" s="1121"/>
      <c r="M66" s="146" t="s">
        <v>561</v>
      </c>
      <c r="N66" s="1121"/>
      <c r="O66" s="146" t="s">
        <v>561</v>
      </c>
      <c r="P66" s="1121"/>
      <c r="Q66" s="146" t="s">
        <v>561</v>
      </c>
      <c r="R66" s="1121"/>
      <c r="S66" s="146" t="s">
        <v>561</v>
      </c>
      <c r="T66" s="1121"/>
      <c r="U66" s="146" t="s">
        <v>561</v>
      </c>
      <c r="V66" s="1121"/>
      <c r="W66" s="146" t="s">
        <v>561</v>
      </c>
      <c r="X66" s="1121"/>
      <c r="Y66" s="146" t="s">
        <v>561</v>
      </c>
      <c r="Z66" s="1121"/>
      <c r="AA66" s="3764"/>
      <c r="AN66" s="3432">
        <v>0</v>
      </c>
    </row>
    <row customHeight="1" ht="54.16666666666666">
      <c r="A67" s="1116"/>
      <c r="D67" s="1142" t="s">
        <v>732</v>
      </c>
      <c r="E67" s="3912" t="s">
        <v>920</v>
      </c>
      <c r="F67" s="146" t="s">
        <v>884</v>
      </c>
      <c r="G67" s="1143"/>
      <c r="H67" s="1121"/>
      <c r="I67" s="1143">
        <v>57.1</v>
      </c>
      <c r="J67" s="1121"/>
      <c r="K67" s="1143">
        <v>43</v>
      </c>
      <c r="L67" s="1121"/>
      <c r="M67" s="1143">
        <v>49.1</v>
      </c>
      <c r="N67" s="1121"/>
      <c r="O67" s="1143">
        <v>17.1</v>
      </c>
      <c r="P67" s="1121"/>
      <c r="Q67" s="1143">
        <v>15.5</v>
      </c>
      <c r="R67" s="1121"/>
      <c r="S67" s="1143">
        <v>88</v>
      </c>
      <c r="T67" s="1121"/>
      <c r="U67" s="1143">
        <v>14.1</v>
      </c>
      <c r="V67" s="1121"/>
      <c r="W67" s="1143">
        <v>4</v>
      </c>
      <c r="X67" s="1121"/>
      <c r="Y67" s="1143">
        <v>0</v>
      </c>
      <c r="Z67" s="1121"/>
      <c r="AA67" s="3764"/>
      <c r="AN67" s="3432">
        <v>0</v>
      </c>
    </row>
    <row customHeight="1" ht="57">
      <c r="A68" s="1116"/>
      <c r="D68" s="1142" t="s">
        <v>322</v>
      </c>
      <c r="E68" s="3912" t="s">
        <v>921</v>
      </c>
      <c r="F68" s="146" t="s">
        <v>884</v>
      </c>
      <c r="G68" s="1143"/>
      <c r="H68" s="1121"/>
      <c r="I68" s="1143">
        <v>0</v>
      </c>
      <c r="J68" s="1121"/>
      <c r="K68" s="1143">
        <v>32</v>
      </c>
      <c r="L68" s="1121"/>
      <c r="M68" s="1143">
        <v>0</v>
      </c>
      <c r="N68" s="1121"/>
      <c r="O68" s="1143">
        <v>0</v>
      </c>
      <c r="P68" s="1121"/>
      <c r="Q68" s="1143">
        <v>0</v>
      </c>
      <c r="R68" s="1121"/>
      <c r="S68" s="1143">
        <v>28.5</v>
      </c>
      <c r="T68" s="1121"/>
      <c r="U68" s="1143">
        <v>0</v>
      </c>
      <c r="V68" s="1121"/>
      <c r="W68" s="1143">
        <v>28</v>
      </c>
      <c r="X68" s="1121"/>
      <c r="Y68" s="1143">
        <v>0</v>
      </c>
      <c r="Z68" s="1121"/>
      <c r="AA68" s="3764"/>
      <c r="AN68" s="3432">
        <v>0</v>
      </c>
    </row>
    <row customHeight="1" ht="39.99999999999999">
      <c r="A69" s="1116"/>
      <c r="D69" s="1142" t="s">
        <v>325</v>
      </c>
      <c r="E69" s="3912" t="s">
        <v>922</v>
      </c>
      <c r="F69" s="1137" t="s">
        <v>573</v>
      </c>
      <c r="G69" s="1084"/>
      <c r="H69" s="1121"/>
      <c r="I69" s="1084">
        <v>0</v>
      </c>
      <c r="J69" s="1121"/>
      <c r="K69" s="1084">
        <v>0</v>
      </c>
      <c r="L69" s="1121"/>
      <c r="M69" s="1084">
        <v>0</v>
      </c>
      <c r="N69" s="1121"/>
      <c r="O69" s="1084">
        <v>0</v>
      </c>
      <c r="P69" s="1121"/>
      <c r="Q69" s="1084">
        <v>0</v>
      </c>
      <c r="R69" s="1121"/>
      <c r="S69" s="1084">
        <v>0</v>
      </c>
      <c r="T69" s="1121"/>
      <c r="U69" s="1084">
        <v>0</v>
      </c>
      <c r="V69" s="1121"/>
      <c r="W69" s="1084">
        <v>0</v>
      </c>
      <c r="X69" s="1121"/>
      <c r="Y69" s="1084">
        <v>0</v>
      </c>
      <c r="Z69" s="1121"/>
      <c r="AA69" s="3764"/>
      <c r="AN69" s="3432">
        <v>0</v>
      </c>
    </row>
    <row customHeight="1" ht="39.99999999999999">
      <c r="A70" s="1116"/>
      <c r="D70" s="1142" t="s">
        <v>752</v>
      </c>
      <c r="E70" s="3912" t="s">
        <v>923</v>
      </c>
      <c r="F70" s="1137" t="s">
        <v>573</v>
      </c>
      <c r="G70" s="1084"/>
      <c r="H70" s="1121"/>
      <c r="I70" s="1084">
        <v>0</v>
      </c>
      <c r="J70" s="1121"/>
      <c r="K70" s="1084">
        <v>0</v>
      </c>
      <c r="L70" s="1121"/>
      <c r="M70" s="1084">
        <v>0</v>
      </c>
      <c r="N70" s="1121"/>
      <c r="O70" s="1084">
        <v>0</v>
      </c>
      <c r="P70" s="1121"/>
      <c r="Q70" s="1084">
        <v>0</v>
      </c>
      <c r="R70" s="1121"/>
      <c r="S70" s="1084">
        <v>0</v>
      </c>
      <c r="T70" s="1121"/>
      <c r="U70" s="1084">
        <v>0</v>
      </c>
      <c r="V70" s="1121"/>
      <c r="W70" s="1084">
        <v>0</v>
      </c>
      <c r="X70" s="1121"/>
      <c r="Y70" s="1084">
        <v>0</v>
      </c>
      <c r="Z70" s="1121"/>
      <c r="AA70" s="3764"/>
      <c r="AN70" s="3432">
        <v>0</v>
      </c>
    </row>
    <row customHeight="1" ht="49.5">
      <c r="A71" s="1116"/>
      <c r="D71" s="1126" t="s">
        <v>88</v>
      </c>
      <c r="E71" s="3987" t="s">
        <v>924</v>
      </c>
      <c r="F71" s="146" t="s">
        <v>884</v>
      </c>
      <c r="G71" s="1057"/>
      <c r="H71" s="1125"/>
      <c r="I71" s="1057">
        <v>68</v>
      </c>
      <c r="J71" s="1125"/>
      <c r="K71" s="1057">
        <v>4</v>
      </c>
      <c r="L71" s="1125"/>
      <c r="M71" s="1057">
        <v>16</v>
      </c>
      <c r="N71" s="1125"/>
      <c r="O71" s="1057">
        <v>20</v>
      </c>
      <c r="P71" s="1125"/>
      <c r="Q71" s="1057">
        <v>32</v>
      </c>
      <c r="R71" s="1125"/>
      <c r="S71" s="1057">
        <v>64</v>
      </c>
      <c r="T71" s="1125"/>
      <c r="U71" s="1057">
        <v>8</v>
      </c>
      <c r="V71" s="1125"/>
      <c r="W71" s="1057">
        <v>4</v>
      </c>
      <c r="X71" s="1125"/>
      <c r="Y71" s="1057">
        <v>4</v>
      </c>
      <c r="Z71" s="1125"/>
      <c r="AA71" s="3852"/>
      <c r="AN71" s="3432">
        <v>0</v>
      </c>
    </row>
    <row customHeight="1" ht="84.75">
      <c r="A72" s="1116"/>
      <c r="D72" s="1126" t="s">
        <v>89</v>
      </c>
      <c r="E72" s="3987" t="s">
        <v>925</v>
      </c>
      <c r="F72" s="1137" t="s">
        <v>573</v>
      </c>
      <c r="G72" s="1084"/>
      <c r="H72" s="1128"/>
      <c r="I72" s="1084">
        <v>100</v>
      </c>
      <c r="J72" s="1128"/>
      <c r="K72" s="1084">
        <v>100</v>
      </c>
      <c r="L72" s="1128"/>
      <c r="M72" s="1084">
        <v>100</v>
      </c>
      <c r="N72" s="1128"/>
      <c r="O72" s="1084">
        <v>100</v>
      </c>
      <c r="P72" s="1128"/>
      <c r="Q72" s="1084">
        <v>100</v>
      </c>
      <c r="R72" s="1128"/>
      <c r="S72" s="1084">
        <v>100</v>
      </c>
      <c r="T72" s="1128"/>
      <c r="U72" s="1084">
        <v>100</v>
      </c>
      <c r="V72" s="1128"/>
      <c r="W72" s="1084">
        <v>100</v>
      </c>
      <c r="X72" s="1128"/>
      <c r="Y72" s="1084">
        <v>100</v>
      </c>
      <c r="Z72" s="1128"/>
      <c r="AA72" s="3852"/>
      <c r="AN72" s="3432">
        <v>0</v>
      </c>
    </row>
    <row customHeight="1" ht="48.333333333333336">
      <c r="A73" s="1116"/>
      <c r="D73" s="1126" t="s">
        <v>109</v>
      </c>
      <c r="E73" s="3987" t="s">
        <v>926</v>
      </c>
      <c r="F73" s="1138" t="s">
        <v>842</v>
      </c>
      <c r="G73" s="656"/>
      <c r="H73" s="1128"/>
      <c r="I73" s="656">
        <v>10</v>
      </c>
      <c r="J73" s="1128"/>
      <c r="K73" s="656">
        <v>10</v>
      </c>
      <c r="L73" s="1128"/>
      <c r="M73" s="656">
        <v>10</v>
      </c>
      <c r="N73" s="1128"/>
      <c r="O73" s="656">
        <v>10</v>
      </c>
      <c r="P73" s="1128"/>
      <c r="Q73" s="656">
        <v>10</v>
      </c>
      <c r="R73" s="1128"/>
      <c r="S73" s="656">
        <v>10</v>
      </c>
      <c r="T73" s="1128"/>
      <c r="U73" s="656">
        <v>10</v>
      </c>
      <c r="V73" s="1128"/>
      <c r="W73" s="656">
        <v>10</v>
      </c>
      <c r="X73" s="1128"/>
      <c r="Y73" s="656">
        <v>10</v>
      </c>
      <c r="Z73" s="1128"/>
      <c r="AA73" s="3764"/>
      <c r="AN73" s="3432">
        <v>0</v>
      </c>
    </row>
    <row customHeight="1" ht="22.5">
      <c r="A74" s="1116"/>
      <c r="B74" s="3473" t="s">
        <v>604</v>
      </c>
      <c r="D74" s="1126" t="s">
        <v>90</v>
      </c>
      <c r="E74" s="3987" t="s">
        <v>927</v>
      </c>
      <c r="F74" s="1138" t="s">
        <v>321</v>
      </c>
      <c r="G74" s="431"/>
      <c r="H74" s="1128"/>
      <c r="I74" s="7782" t="s">
        <v>928</v>
      </c>
      <c r="J74" s="1128"/>
      <c r="K74" s="7782" t="s">
        <v>928</v>
      </c>
      <c r="L74" s="1128"/>
      <c r="M74" s="7782" t="s">
        <v>928</v>
      </c>
      <c r="N74" s="1128"/>
      <c r="O74" s="7782" t="s">
        <v>928</v>
      </c>
      <c r="P74" s="1128"/>
      <c r="Q74" s="7782" t="s">
        <v>928</v>
      </c>
      <c r="R74" s="1128"/>
      <c r="S74" s="7782" t="s">
        <v>928</v>
      </c>
      <c r="T74" s="1128"/>
      <c r="U74" s="7782" t="s">
        <v>928</v>
      </c>
      <c r="V74" s="1128"/>
      <c r="W74" s="7782" t="s">
        <v>928</v>
      </c>
      <c r="X74" s="1128"/>
      <c r="Y74" s="7782" t="s">
        <v>928</v>
      </c>
      <c r="Z74" s="1128"/>
      <c r="AA74" s="3764" t="s">
        <v>655</v>
      </c>
      <c r="AN74" s="3432">
        <v>0</v>
      </c>
    </row>
    <row customHeight="1" ht="45">
      <c r="A75" s="1116"/>
      <c r="B75" s="3473" t="s">
        <v>604</v>
      </c>
      <c r="D75" s="1126" t="s">
        <v>676</v>
      </c>
      <c r="E75" s="3986" t="s">
        <v>929</v>
      </c>
      <c r="F75" s="1137" t="s">
        <v>321</v>
      </c>
      <c r="G75" s="431"/>
      <c r="H75" s="1128"/>
      <c r="I75" s="7782" t="s">
        <v>928</v>
      </c>
      <c r="J75" s="1128"/>
      <c r="K75" s="7782" t="s">
        <v>928</v>
      </c>
      <c r="L75" s="1128"/>
      <c r="M75" s="7782" t="s">
        <v>928</v>
      </c>
      <c r="N75" s="1128"/>
      <c r="O75" s="7782" t="s">
        <v>928</v>
      </c>
      <c r="P75" s="1128"/>
      <c r="Q75" s="7782" t="s">
        <v>928</v>
      </c>
      <c r="R75" s="1128"/>
      <c r="S75" s="7782" t="s">
        <v>928</v>
      </c>
      <c r="T75" s="1128"/>
      <c r="U75" s="7782" t="s">
        <v>928</v>
      </c>
      <c r="V75" s="1128"/>
      <c r="W75" s="7782" t="s">
        <v>928</v>
      </c>
      <c r="X75" s="1128"/>
      <c r="Y75" s="7782" t="s">
        <v>928</v>
      </c>
      <c r="Z75" s="1128"/>
      <c r="AA75" s="3764" t="s">
        <v>655</v>
      </c>
      <c r="AN75" s="3432">
        <v>0</v>
      </c>
    </row>
    <row customHeight="1" ht="11.549999999999999">
      <c r="AN76" s="3432">
        <v>11</v>
      </c>
    </row>
    <row customHeight="1" ht="11.25" hidden="1">
      <c r="A77" s="1116" t="s">
        <v>930</v>
      </c>
      <c r="D77" s="1126">
        <v>1</v>
      </c>
      <c r="E77" s="3987" t="s">
        <v>931</v>
      </c>
      <c r="F77" s="1137" t="s">
        <v>832</v>
      </c>
      <c r="G77" s="657"/>
      <c r="H77" s="1128"/>
      <c r="I77" s="657"/>
      <c r="J77" s="1128"/>
      <c r="K77" s="657"/>
      <c r="L77" s="1128"/>
      <c r="M77" s="657"/>
      <c r="N77" s="1128"/>
      <c r="O77" s="657"/>
      <c r="P77" s="1128"/>
      <c r="Q77" s="657"/>
      <c r="R77" s="1128"/>
      <c r="S77" s="657"/>
      <c r="T77" s="1128"/>
      <c r="U77" s="657"/>
      <c r="V77" s="1128"/>
      <c r="W77" s="657"/>
      <c r="X77" s="1128"/>
      <c r="Y77" s="657"/>
      <c r="Z77" s="1128"/>
      <c r="AA77" s="3764" t="s">
        <v>932</v>
      </c>
      <c r="AN77" s="3432">
        <v>0</v>
      </c>
    </row>
    <row customHeight="1" ht="11.25" hidden="1">
      <c r="A78" s="1116"/>
      <c r="D78" s="1126" t="s">
        <v>108</v>
      </c>
      <c r="E78" s="3987" t="s">
        <v>933</v>
      </c>
      <c r="F78" s="1137" t="s">
        <v>832</v>
      </c>
      <c r="G78" s="657"/>
      <c r="H78" s="1128"/>
      <c r="I78" s="657"/>
      <c r="J78" s="1128"/>
      <c r="K78" s="657"/>
      <c r="L78" s="1128"/>
      <c r="M78" s="657"/>
      <c r="N78" s="1128"/>
      <c r="O78" s="657"/>
      <c r="P78" s="1128"/>
      <c r="Q78" s="657"/>
      <c r="R78" s="1128"/>
      <c r="S78" s="657"/>
      <c r="T78" s="1128"/>
      <c r="U78" s="657"/>
      <c r="V78" s="1128"/>
      <c r="W78" s="657"/>
      <c r="X78" s="1128"/>
      <c r="Y78" s="657"/>
      <c r="Z78" s="1128"/>
      <c r="AA78" s="3764" t="s">
        <v>934</v>
      </c>
      <c r="AN78" s="3432">
        <v>0</v>
      </c>
    </row>
    <row customHeight="1" ht="22.5" hidden="1">
      <c r="A79" s="1116"/>
      <c r="D79" s="1126" t="s">
        <v>88</v>
      </c>
      <c r="E79" s="3985" t="s">
        <v>935</v>
      </c>
      <c r="F79" s="146" t="s">
        <v>881</v>
      </c>
      <c r="G79" s="657"/>
      <c r="H79" s="1128"/>
      <c r="I79" s="657"/>
      <c r="J79" s="1128"/>
      <c r="K79" s="657"/>
      <c r="L79" s="1128"/>
      <c r="M79" s="657"/>
      <c r="N79" s="1128"/>
      <c r="O79" s="657"/>
      <c r="P79" s="1128"/>
      <c r="Q79" s="657"/>
      <c r="R79" s="1128"/>
      <c r="S79" s="657"/>
      <c r="T79" s="1128"/>
      <c r="U79" s="657"/>
      <c r="V79" s="1128"/>
      <c r="W79" s="657"/>
      <c r="X79" s="1128"/>
      <c r="Y79" s="657"/>
      <c r="Z79" s="1128"/>
      <c r="AA79" s="3764" t="s">
        <v>936</v>
      </c>
      <c r="AN79" s="3432">
        <v>0</v>
      </c>
    </row>
    <row customHeight="1" ht="11.25" hidden="1">
      <c r="A80" s="1116"/>
      <c r="D80" s="1126" t="s">
        <v>339</v>
      </c>
      <c r="E80" s="3984" t="s">
        <v>937</v>
      </c>
      <c r="F80" s="146" t="s">
        <v>881</v>
      </c>
      <c r="G80" s="657"/>
      <c r="H80" s="1128"/>
      <c r="I80" s="657"/>
      <c r="J80" s="1128"/>
      <c r="K80" s="657"/>
      <c r="L80" s="1128"/>
      <c r="M80" s="657"/>
      <c r="N80" s="1128"/>
      <c r="O80" s="657"/>
      <c r="P80" s="1128"/>
      <c r="Q80" s="657"/>
      <c r="R80" s="1128"/>
      <c r="S80" s="657"/>
      <c r="T80" s="1128"/>
      <c r="U80" s="657"/>
      <c r="V80" s="1128"/>
      <c r="W80" s="657"/>
      <c r="X80" s="1128"/>
      <c r="Y80" s="657"/>
      <c r="Z80" s="1128"/>
      <c r="AA80" s="3764"/>
      <c r="AN80" s="3432">
        <v>0</v>
      </c>
    </row>
    <row customHeight="1" ht="11.25" hidden="1">
      <c r="A81" s="1116"/>
      <c r="D81" s="1126" t="s">
        <v>347</v>
      </c>
      <c r="E81" s="3984" t="s">
        <v>938</v>
      </c>
      <c r="F81" s="146" t="s">
        <v>881</v>
      </c>
      <c r="G81" s="657"/>
      <c r="H81" s="1128"/>
      <c r="I81" s="657"/>
      <c r="J81" s="1128"/>
      <c r="K81" s="657"/>
      <c r="L81" s="1128"/>
      <c r="M81" s="657"/>
      <c r="N81" s="1128"/>
      <c r="O81" s="657"/>
      <c r="P81" s="1128"/>
      <c r="Q81" s="657"/>
      <c r="R81" s="1128"/>
      <c r="S81" s="657"/>
      <c r="T81" s="1128"/>
      <c r="U81" s="657"/>
      <c r="V81" s="1128"/>
      <c r="W81" s="657"/>
      <c r="X81" s="1128"/>
      <c r="Y81" s="657"/>
      <c r="Z81" s="1128"/>
      <c r="AA81" s="3764"/>
      <c r="AN81" s="3432">
        <v>0</v>
      </c>
    </row>
    <row customHeight="1" ht="11.25" hidden="1">
      <c r="A82" s="1116"/>
      <c r="D82" s="1126" t="s">
        <v>349</v>
      </c>
      <c r="E82" s="3984" t="s">
        <v>939</v>
      </c>
      <c r="F82" s="146" t="s">
        <v>881</v>
      </c>
      <c r="G82" s="657"/>
      <c r="H82" s="1128"/>
      <c r="I82" s="657"/>
      <c r="J82" s="1128"/>
      <c r="K82" s="657"/>
      <c r="L82" s="1128"/>
      <c r="M82" s="657"/>
      <c r="N82" s="1128"/>
      <c r="O82" s="657"/>
      <c r="P82" s="1128"/>
      <c r="Q82" s="657"/>
      <c r="R82" s="1128"/>
      <c r="S82" s="657"/>
      <c r="T82" s="1128"/>
      <c r="U82" s="657"/>
      <c r="V82" s="1128"/>
      <c r="W82" s="657"/>
      <c r="X82" s="1128"/>
      <c r="Y82" s="657"/>
      <c r="Z82" s="1128"/>
      <c r="AA82" s="3764"/>
      <c r="AN82" s="3432">
        <v>0</v>
      </c>
    </row>
    <row customHeight="1" ht="11.25" hidden="1">
      <c r="A83" s="1116"/>
      <c r="D83" s="1126" t="s">
        <v>351</v>
      </c>
      <c r="E83" s="3984" t="s">
        <v>940</v>
      </c>
      <c r="F83" s="146" t="s">
        <v>881</v>
      </c>
      <c r="G83" s="657"/>
      <c r="H83" s="1128"/>
      <c r="I83" s="657"/>
      <c r="J83" s="1128"/>
      <c r="K83" s="657"/>
      <c r="L83" s="1128"/>
      <c r="M83" s="657"/>
      <c r="N83" s="1128"/>
      <c r="O83" s="657"/>
      <c r="P83" s="1128"/>
      <c r="Q83" s="657"/>
      <c r="R83" s="1128"/>
      <c r="S83" s="657"/>
      <c r="T83" s="1128"/>
      <c r="U83" s="657"/>
      <c r="V83" s="1128"/>
      <c r="W83" s="657"/>
      <c r="X83" s="1128"/>
      <c r="Y83" s="657"/>
      <c r="Z83" s="1128"/>
      <c r="AA83" s="3764"/>
      <c r="AN83" s="3432">
        <v>0</v>
      </c>
    </row>
    <row customHeight="1" ht="11.25" hidden="1">
      <c r="A84" s="1116"/>
      <c r="D84" s="1126" t="s">
        <v>941</v>
      </c>
      <c r="E84" s="3984" t="s">
        <v>942</v>
      </c>
      <c r="F84" s="146" t="s">
        <v>881</v>
      </c>
      <c r="G84" s="657"/>
      <c r="H84" s="1128"/>
      <c r="I84" s="657"/>
      <c r="J84" s="1128"/>
      <c r="K84" s="657"/>
      <c r="L84" s="1128"/>
      <c r="M84" s="657"/>
      <c r="N84" s="1128"/>
      <c r="O84" s="657"/>
      <c r="P84" s="1128"/>
      <c r="Q84" s="657"/>
      <c r="R84" s="1128"/>
      <c r="S84" s="657"/>
      <c r="T84" s="1128"/>
      <c r="U84" s="657"/>
      <c r="V84" s="1128"/>
      <c r="W84" s="657"/>
      <c r="X84" s="1128"/>
      <c r="Y84" s="657"/>
      <c r="Z84" s="1128"/>
      <c r="AA84" s="3764"/>
      <c r="AN84" s="3432">
        <v>0</v>
      </c>
    </row>
    <row customHeight="1" ht="11.25" hidden="1">
      <c r="A85" s="1116"/>
      <c r="D85" s="1126" t="s">
        <v>943</v>
      </c>
      <c r="E85" s="3984" t="s">
        <v>944</v>
      </c>
      <c r="F85" s="146" t="s">
        <v>881</v>
      </c>
      <c r="G85" s="657"/>
      <c r="H85" s="1128"/>
      <c r="I85" s="657"/>
      <c r="J85" s="1128"/>
      <c r="K85" s="657"/>
      <c r="L85" s="1128"/>
      <c r="M85" s="657"/>
      <c r="N85" s="1128"/>
      <c r="O85" s="657"/>
      <c r="P85" s="1128"/>
      <c r="Q85" s="657"/>
      <c r="R85" s="1128"/>
      <c r="S85" s="657"/>
      <c r="T85" s="1128"/>
      <c r="U85" s="657"/>
      <c r="V85" s="1128"/>
      <c r="W85" s="657"/>
      <c r="X85" s="1128"/>
      <c r="Y85" s="657"/>
      <c r="Z85" s="1128"/>
      <c r="AA85" s="3764"/>
      <c r="AN85" s="3432">
        <v>0</v>
      </c>
    </row>
    <row customHeight="1" ht="11.25" hidden="1">
      <c r="A86" s="1116"/>
      <c r="D86" s="1126" t="s">
        <v>945</v>
      </c>
      <c r="E86" s="3984" t="s">
        <v>946</v>
      </c>
      <c r="F86" s="146" t="s">
        <v>881</v>
      </c>
      <c r="G86" s="657"/>
      <c r="H86" s="1128"/>
      <c r="I86" s="657"/>
      <c r="J86" s="1128"/>
      <c r="K86" s="657"/>
      <c r="L86" s="1128"/>
      <c r="M86" s="657"/>
      <c r="N86" s="1128"/>
      <c r="O86" s="657"/>
      <c r="P86" s="1128"/>
      <c r="Q86" s="657"/>
      <c r="R86" s="1128"/>
      <c r="S86" s="657"/>
      <c r="T86" s="1128"/>
      <c r="U86" s="657"/>
      <c r="V86" s="1128"/>
      <c r="W86" s="657"/>
      <c r="X86" s="1128"/>
      <c r="Y86" s="657"/>
      <c r="Z86" s="1128"/>
      <c r="AA86" s="3764"/>
      <c r="AN86" s="3432">
        <v>0</v>
      </c>
    </row>
    <row customHeight="1" ht="45" hidden="1">
      <c r="A87" s="1116"/>
      <c r="D87" s="1126" t="s">
        <v>89</v>
      </c>
      <c r="E87" s="3987" t="s">
        <v>947</v>
      </c>
      <c r="F87" s="146" t="s">
        <v>881</v>
      </c>
      <c r="G87" s="657"/>
      <c r="H87" s="1128"/>
      <c r="I87" s="657"/>
      <c r="J87" s="1128"/>
      <c r="K87" s="657"/>
      <c r="L87" s="1128"/>
      <c r="M87" s="657"/>
      <c r="N87" s="1128"/>
      <c r="O87" s="657"/>
      <c r="P87" s="1128"/>
      <c r="Q87" s="657"/>
      <c r="R87" s="1128"/>
      <c r="S87" s="657"/>
      <c r="T87" s="1128"/>
      <c r="U87" s="657"/>
      <c r="V87" s="1128"/>
      <c r="W87" s="657"/>
      <c r="X87" s="1128"/>
      <c r="Y87" s="657"/>
      <c r="Z87" s="1128"/>
      <c r="AA87" s="3764" t="s">
        <v>948</v>
      </c>
      <c r="AN87" s="3432">
        <v>0</v>
      </c>
    </row>
    <row customHeight="1" ht="11.25" hidden="1">
      <c r="A88" s="1116"/>
      <c r="D88" s="1126" t="s">
        <v>777</v>
      </c>
      <c r="E88" s="3984" t="s">
        <v>937</v>
      </c>
      <c r="F88" s="146" t="s">
        <v>881</v>
      </c>
      <c r="G88" s="657"/>
      <c r="H88" s="1128"/>
      <c r="I88" s="657"/>
      <c r="J88" s="1128"/>
      <c r="K88" s="657"/>
      <c r="L88" s="1128"/>
      <c r="M88" s="657"/>
      <c r="N88" s="1128"/>
      <c r="O88" s="657"/>
      <c r="P88" s="1128"/>
      <c r="Q88" s="657"/>
      <c r="R88" s="1128"/>
      <c r="S88" s="657"/>
      <c r="T88" s="1128"/>
      <c r="U88" s="657"/>
      <c r="V88" s="1128"/>
      <c r="W88" s="657"/>
      <c r="X88" s="1128"/>
      <c r="Y88" s="657"/>
      <c r="Z88" s="1128"/>
      <c r="AA88" s="3764"/>
      <c r="AN88" s="3432">
        <v>0</v>
      </c>
    </row>
    <row customHeight="1" ht="11.25" hidden="1">
      <c r="A89" s="1116"/>
      <c r="D89" s="1126" t="s">
        <v>818</v>
      </c>
      <c r="E89" s="3984" t="s">
        <v>938</v>
      </c>
      <c r="F89" s="146" t="s">
        <v>881</v>
      </c>
      <c r="G89" s="657"/>
      <c r="H89" s="1128"/>
      <c r="I89" s="657"/>
      <c r="J89" s="1128"/>
      <c r="K89" s="657"/>
      <c r="L89" s="1128"/>
      <c r="M89" s="657"/>
      <c r="N89" s="1128"/>
      <c r="O89" s="657"/>
      <c r="P89" s="1128"/>
      <c r="Q89" s="657"/>
      <c r="R89" s="1128"/>
      <c r="S89" s="657"/>
      <c r="T89" s="1128"/>
      <c r="U89" s="657"/>
      <c r="V89" s="1128"/>
      <c r="W89" s="657"/>
      <c r="X89" s="1128"/>
      <c r="Y89" s="657"/>
      <c r="Z89" s="1128"/>
      <c r="AA89" s="3764"/>
      <c r="AN89" s="3432">
        <v>0</v>
      </c>
    </row>
    <row customHeight="1" ht="11.25" hidden="1">
      <c r="A90" s="1116"/>
      <c r="D90" s="1126" t="s">
        <v>821</v>
      </c>
      <c r="E90" s="3984" t="s">
        <v>939</v>
      </c>
      <c r="F90" s="146" t="s">
        <v>881</v>
      </c>
      <c r="G90" s="657"/>
      <c r="H90" s="1128"/>
      <c r="I90" s="657"/>
      <c r="J90" s="1128"/>
      <c r="K90" s="657"/>
      <c r="L90" s="1128"/>
      <c r="M90" s="657"/>
      <c r="N90" s="1128"/>
      <c r="O90" s="657"/>
      <c r="P90" s="1128"/>
      <c r="Q90" s="657"/>
      <c r="R90" s="1128"/>
      <c r="S90" s="657"/>
      <c r="T90" s="1128"/>
      <c r="U90" s="657"/>
      <c r="V90" s="1128"/>
      <c r="W90" s="657"/>
      <c r="X90" s="1128"/>
      <c r="Y90" s="657"/>
      <c r="Z90" s="1128"/>
      <c r="AA90" s="3764"/>
      <c r="AN90" s="3432">
        <v>0</v>
      </c>
    </row>
    <row customHeight="1" ht="11.25" hidden="1">
      <c r="A91" s="1116"/>
      <c r="D91" s="1126" t="s">
        <v>899</v>
      </c>
      <c r="E91" s="3984" t="s">
        <v>940</v>
      </c>
      <c r="F91" s="146" t="s">
        <v>881</v>
      </c>
      <c r="G91" s="657"/>
      <c r="H91" s="1128"/>
      <c r="I91" s="657"/>
      <c r="J91" s="1128"/>
      <c r="K91" s="657"/>
      <c r="L91" s="1128"/>
      <c r="M91" s="657"/>
      <c r="N91" s="1128"/>
      <c r="O91" s="657"/>
      <c r="P91" s="1128"/>
      <c r="Q91" s="657"/>
      <c r="R91" s="1128"/>
      <c r="S91" s="657"/>
      <c r="T91" s="1128"/>
      <c r="U91" s="657"/>
      <c r="V91" s="1128"/>
      <c r="W91" s="657"/>
      <c r="X91" s="1128"/>
      <c r="Y91" s="657"/>
      <c r="Z91" s="1128"/>
      <c r="AA91" s="3764"/>
      <c r="AN91" s="3432">
        <v>0</v>
      </c>
    </row>
    <row customHeight="1" ht="11.25" hidden="1">
      <c r="A92" s="1116"/>
      <c r="D92" s="1126" t="s">
        <v>901</v>
      </c>
      <c r="E92" s="3984" t="s">
        <v>942</v>
      </c>
      <c r="F92" s="146" t="s">
        <v>881</v>
      </c>
      <c r="G92" s="657"/>
      <c r="H92" s="1128"/>
      <c r="I92" s="657"/>
      <c r="J92" s="1128"/>
      <c r="K92" s="657"/>
      <c r="L92" s="1128"/>
      <c r="M92" s="657"/>
      <c r="N92" s="1128"/>
      <c r="O92" s="657"/>
      <c r="P92" s="1128"/>
      <c r="Q92" s="657"/>
      <c r="R92" s="1128"/>
      <c r="S92" s="657"/>
      <c r="T92" s="1128"/>
      <c r="U92" s="657"/>
      <c r="V92" s="1128"/>
      <c r="W92" s="657"/>
      <c r="X92" s="1128"/>
      <c r="Y92" s="657"/>
      <c r="Z92" s="1128"/>
      <c r="AA92" s="3764"/>
      <c r="AN92" s="3432">
        <v>0</v>
      </c>
    </row>
    <row customHeight="1" ht="11.25" hidden="1">
      <c r="A93" s="1116"/>
      <c r="D93" s="1126" t="s">
        <v>949</v>
      </c>
      <c r="E93" s="3984" t="s">
        <v>944</v>
      </c>
      <c r="F93" s="146" t="s">
        <v>881</v>
      </c>
      <c r="G93" s="657"/>
      <c r="H93" s="1128"/>
      <c r="I93" s="657"/>
      <c r="J93" s="1128"/>
      <c r="K93" s="657"/>
      <c r="L93" s="1128"/>
      <c r="M93" s="657"/>
      <c r="N93" s="1128"/>
      <c r="O93" s="657"/>
      <c r="P93" s="1128"/>
      <c r="Q93" s="657"/>
      <c r="R93" s="1128"/>
      <c r="S93" s="657"/>
      <c r="T93" s="1128"/>
      <c r="U93" s="657"/>
      <c r="V93" s="1128"/>
      <c r="W93" s="657"/>
      <c r="X93" s="1128"/>
      <c r="Y93" s="657"/>
      <c r="Z93" s="1128"/>
      <c r="AA93" s="3764"/>
      <c r="AN93" s="3432">
        <v>0</v>
      </c>
    </row>
    <row customHeight="1" ht="11.25" hidden="1">
      <c r="A94" s="1116"/>
      <c r="D94" s="1126" t="s">
        <v>950</v>
      </c>
      <c r="E94" s="3984" t="s">
        <v>946</v>
      </c>
      <c r="F94" s="146" t="s">
        <v>881</v>
      </c>
      <c r="G94" s="657"/>
      <c r="H94" s="1128"/>
      <c r="I94" s="657"/>
      <c r="J94" s="1128"/>
      <c r="K94" s="657"/>
      <c r="L94" s="1128"/>
      <c r="M94" s="657"/>
      <c r="N94" s="1128"/>
      <c r="O94" s="657"/>
      <c r="P94" s="1128"/>
      <c r="Q94" s="657"/>
      <c r="R94" s="1128"/>
      <c r="S94" s="657"/>
      <c r="T94" s="1128"/>
      <c r="U94" s="657"/>
      <c r="V94" s="1128"/>
      <c r="W94" s="657"/>
      <c r="X94" s="1128"/>
      <c r="Y94" s="657"/>
      <c r="Z94" s="1128"/>
      <c r="AA94" s="3764"/>
      <c r="AN94" s="3432">
        <v>0</v>
      </c>
    </row>
    <row customHeight="1" ht="24.75" hidden="1">
      <c r="A95" s="1116"/>
      <c r="D95" s="1126" t="s">
        <v>109</v>
      </c>
      <c r="E95" s="3987" t="s">
        <v>951</v>
      </c>
      <c r="F95" s="1144" t="s">
        <v>573</v>
      </c>
      <c r="G95" s="1143"/>
      <c r="H95" s="1128"/>
      <c r="I95" s="1143"/>
      <c r="J95" s="1128"/>
      <c r="K95" s="1143"/>
      <c r="L95" s="1128"/>
      <c r="M95" s="1143"/>
      <c r="N95" s="1128"/>
      <c r="O95" s="1143"/>
      <c r="P95" s="1128"/>
      <c r="Q95" s="1143"/>
      <c r="R95" s="1128"/>
      <c r="S95" s="1143"/>
      <c r="T95" s="1128"/>
      <c r="U95" s="1143"/>
      <c r="V95" s="1128"/>
      <c r="W95" s="1143"/>
      <c r="X95" s="1128"/>
      <c r="Y95" s="1143"/>
      <c r="Z95" s="1128"/>
      <c r="AA95" s="3764" t="s">
        <v>952</v>
      </c>
      <c r="AN95" s="3432">
        <v>0</v>
      </c>
    </row>
    <row customHeight="1" ht="33.75" hidden="1">
      <c r="A96" s="1116"/>
      <c r="D96" s="1126" t="s">
        <v>90</v>
      </c>
      <c r="E96" s="3987" t="s">
        <v>953</v>
      </c>
      <c r="F96" s="1138" t="s">
        <v>842</v>
      </c>
      <c r="G96" s="1145"/>
      <c r="H96" s="1128"/>
      <c r="I96" s="1145"/>
      <c r="J96" s="1128"/>
      <c r="K96" s="1145"/>
      <c r="L96" s="1128"/>
      <c r="M96" s="1145"/>
      <c r="N96" s="1128"/>
      <c r="O96" s="1145"/>
      <c r="P96" s="1128"/>
      <c r="Q96" s="1145"/>
      <c r="R96" s="1128"/>
      <c r="S96" s="1145"/>
      <c r="T96" s="1128"/>
      <c r="U96" s="1145"/>
      <c r="V96" s="1128"/>
      <c r="W96" s="1145"/>
      <c r="X96" s="1128"/>
      <c r="Y96" s="1145"/>
      <c r="Z96" s="1128"/>
      <c r="AA96" s="3764"/>
      <c r="AN96" s="3432">
        <v>0</v>
      </c>
    </row>
    <row customHeight="1" ht="22.5" hidden="1">
      <c r="A97" s="1116"/>
      <c r="B97" s="3473" t="s">
        <v>604</v>
      </c>
      <c r="D97" s="1126" t="s">
        <v>91</v>
      </c>
      <c r="E97" s="3987" t="s">
        <v>954</v>
      </c>
      <c r="F97" s="1138" t="s">
        <v>321</v>
      </c>
      <c r="G97" s="775"/>
      <c r="H97" s="1128"/>
      <c r="I97" s="775"/>
      <c r="J97" s="1128"/>
      <c r="K97" s="775"/>
      <c r="L97" s="1128"/>
      <c r="M97" s="775"/>
      <c r="N97" s="1128"/>
      <c r="O97" s="775"/>
      <c r="P97" s="1128"/>
      <c r="Q97" s="775"/>
      <c r="R97" s="1128"/>
      <c r="S97" s="775"/>
      <c r="T97" s="1128"/>
      <c r="U97" s="775"/>
      <c r="V97" s="1128"/>
      <c r="W97" s="775"/>
      <c r="X97" s="1128"/>
      <c r="Y97" s="775"/>
      <c r="Z97" s="1128"/>
      <c r="AA97" s="3764" t="s">
        <v>655</v>
      </c>
      <c r="AN97" s="3432">
        <v>0</v>
      </c>
    </row>
    <row customHeight="1" ht="45" hidden="1">
      <c r="A98" s="1116"/>
      <c r="B98" s="3473" t="s">
        <v>604</v>
      </c>
      <c r="D98" s="1126" t="s">
        <v>955</v>
      </c>
      <c r="E98" s="3986" t="s">
        <v>956</v>
      </c>
      <c r="F98" s="1137" t="s">
        <v>321</v>
      </c>
      <c r="G98" s="775"/>
      <c r="H98" s="1128"/>
      <c r="I98" s="775"/>
      <c r="J98" s="1128"/>
      <c r="K98" s="775"/>
      <c r="L98" s="1128"/>
      <c r="M98" s="775"/>
      <c r="N98" s="1128"/>
      <c r="O98" s="775"/>
      <c r="P98" s="1128"/>
      <c r="Q98" s="775"/>
      <c r="R98" s="1128"/>
      <c r="S98" s="775"/>
      <c r="T98" s="1128"/>
      <c r="U98" s="775"/>
      <c r="V98" s="1128"/>
      <c r="W98" s="775"/>
      <c r="X98" s="1128"/>
      <c r="Y98" s="775"/>
      <c r="Z98" s="1128"/>
      <c r="AA98" s="3764" t="s">
        <v>655</v>
      </c>
      <c r="AN98" s="3432">
        <v>0</v>
      </c>
    </row>
    <row customHeight="1" ht="95.25" hidden="1">
      <c r="A99" s="1116"/>
      <c r="B99" s="3473" t="s">
        <v>604</v>
      </c>
      <c r="D99" s="1126" t="s">
        <v>110</v>
      </c>
      <c r="E99" s="3987" t="s">
        <v>957</v>
      </c>
      <c r="F99" s="1137" t="s">
        <v>321</v>
      </c>
      <c r="G99" s="775"/>
      <c r="H99" s="1128"/>
      <c r="I99" s="775"/>
      <c r="J99" s="1128"/>
      <c r="K99" s="775"/>
      <c r="L99" s="1128"/>
      <c r="M99" s="775"/>
      <c r="N99" s="1128"/>
      <c r="O99" s="775"/>
      <c r="P99" s="1128"/>
      <c r="Q99" s="775"/>
      <c r="R99" s="1128"/>
      <c r="S99" s="775"/>
      <c r="T99" s="1128"/>
      <c r="U99" s="775"/>
      <c r="V99" s="1128"/>
      <c r="W99" s="775"/>
      <c r="X99" s="1128"/>
      <c r="Y99" s="775"/>
      <c r="Z99" s="1128"/>
      <c r="AA99" s="3764" t="s">
        <v>655</v>
      </c>
      <c r="AN99" s="3432">
        <v>0</v>
      </c>
    </row>
    <row customHeight="1" ht="22.5" hidden="1">
      <c r="A100" s="1116"/>
      <c r="B100" s="3473" t="s">
        <v>604</v>
      </c>
      <c r="D100" s="1126" t="s">
        <v>134</v>
      </c>
      <c r="E100" s="3987" t="s">
        <v>958</v>
      </c>
      <c r="F100" s="1137" t="s">
        <v>321</v>
      </c>
      <c r="G100" s="775"/>
      <c r="H100" s="1128"/>
      <c r="I100" s="775"/>
      <c r="J100" s="1128"/>
      <c r="K100" s="775"/>
      <c r="L100" s="1128"/>
      <c r="M100" s="775"/>
      <c r="N100" s="1128"/>
      <c r="O100" s="775"/>
      <c r="P100" s="1128"/>
      <c r="Q100" s="775"/>
      <c r="R100" s="1128"/>
      <c r="S100" s="775"/>
      <c r="T100" s="1128"/>
      <c r="U100" s="775"/>
      <c r="V100" s="1128"/>
      <c r="W100" s="775"/>
      <c r="X100" s="1128"/>
      <c r="Y100" s="775"/>
      <c r="Z100" s="1128"/>
      <c r="AA100" s="3764" t="s">
        <v>655</v>
      </c>
      <c r="AN100" s="3432">
        <v>0</v>
      </c>
    </row>
    <row customHeight="1" ht="11.549999999999999">
      <c r="AN101" s="3432">
        <v>11</v>
      </c>
    </row>
    <row customHeight="1" ht="22.5" hidden="1">
      <c r="A102" s="132" t="s">
        <v>80</v>
      </c>
      <c r="B102" s="3473">
        <v>0</v>
      </c>
      <c r="C102" s="3432">
        <v>3</v>
      </c>
      <c r="D102" s="3432">
        <v>7</v>
      </c>
      <c r="E102" s="3432">
        <v>69</v>
      </c>
      <c r="F102" s="3432">
        <v>10</v>
      </c>
      <c r="G102" s="3432">
        <v>0</v>
      </c>
      <c r="H102" s="3432">
        <v>0</v>
      </c>
      <c r="I102" s="3432">
        <v>43</v>
      </c>
      <c r="J102" s="3432">
        <v>43</v>
      </c>
      <c r="K102" s="3432">
        <v>0</v>
      </c>
      <c r="L102" s="3432">
        <v>0</v>
      </c>
      <c r="M102" s="3432">
        <v>0</v>
      </c>
      <c r="N102" s="3432">
        <v>0</v>
      </c>
      <c r="O102" s="3432">
        <v>0</v>
      </c>
      <c r="P102" s="3432">
        <v>0</v>
      </c>
      <c r="Q102" s="3432">
        <v>0</v>
      </c>
      <c r="R102" s="3432">
        <v>0</v>
      </c>
      <c r="S102" s="3432">
        <v>0</v>
      </c>
      <c r="T102" s="3432">
        <v>0</v>
      </c>
      <c r="U102" s="3432">
        <v>0</v>
      </c>
      <c r="V102" s="3432">
        <v>0</v>
      </c>
      <c r="W102" s="3432">
        <v>0</v>
      </c>
      <c r="X102" s="3432">
        <v>0</v>
      </c>
      <c r="Y102" s="3432">
        <v>0</v>
      </c>
      <c r="Z102" s="3432">
        <v>0</v>
      </c>
      <c r="AA102" s="3432">
        <v>73</v>
      </c>
      <c r="AB102" s="3432">
        <v>3</v>
      </c>
      <c r="AC102" s="3432">
        <v>10</v>
      </c>
      <c r="AD102" s="3432">
        <v>10</v>
      </c>
      <c r="AE102" s="3432">
        <v>10</v>
      </c>
      <c r="AF102" s="3432">
        <v>10</v>
      </c>
      <c r="AG102" s="3432">
        <v>10</v>
      </c>
      <c r="AH102" s="3432">
        <v>10</v>
      </c>
      <c r="AI102" s="3432">
        <v>10</v>
      </c>
      <c r="AJ102" s="3432">
        <v>10</v>
      </c>
      <c r="AK102" s="3432">
        <v>10</v>
      </c>
      <c r="AL102" s="3432">
        <v>10</v>
      </c>
      <c r="AM102" s="3432">
        <v>10</v>
      </c>
      <c r="AN102" s="3432">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s>
  <hyperlinks>
    <hyperlink ref="I74" r:id="rId1" xr:uid="{AB6AA154-190E-9B85-7B29-371F79437215}"/>
    <hyperlink ref="K74" r:id="rId2" xr:uid="{2AF5896B-8776-CC94-A8EC-39517C6BDC1E}"/>
    <hyperlink ref="M74" r:id="rId3" xr:uid="{6D2CE4DD-30BA-6524-82F6-C139AF3F8228}"/>
    <hyperlink ref="O74" r:id="rId4" xr:uid="{E2C39EA5-0C4D-9F1D-16A2-A1CCBE64106D}"/>
    <hyperlink ref="Q74" r:id="rId5" xr:uid="{3CFC6BE1-E61C-CC7D-605C-932C60CADF35}"/>
    <hyperlink ref="S74" r:id="rId6" xr:uid="{B6ED6D08-435E-CF4C-85AF-06F7F9FC753D}"/>
    <hyperlink ref="U74" r:id="rId7" xr:uid="{221AC1F6-3568-7B4E-2EA4-DE16C014085E}"/>
    <hyperlink ref="W74" r:id="rId8" xr:uid="{A296D7BC-0454-D8AF-01A5-F0032DCC506E}"/>
    <hyperlink ref="Y74" r:id="rId9" xr:uid="{15B0DF72-45CB-7DDB-51D7-D636F4C30E0F}"/>
    <hyperlink ref="I75" r:id="rId10" xr:uid="{B2BC4B74-18D5-18C4-5167-2D70000E6982}"/>
    <hyperlink ref="K75" r:id="rId11" xr:uid="{D3525699-D72E-F05E-324E-49728F9ED549}"/>
    <hyperlink ref="M75" r:id="rId12" xr:uid="{7F1F8D86-7C56-7113-EDE1-F8E41A66CFED}"/>
    <hyperlink ref="O75" r:id="rId13" xr:uid="{8957C8BC-6D83-A3D9-E192-2BCEA2293311}"/>
    <hyperlink ref="Q75" r:id="rId14" xr:uid="{BEF3FB15-824A-44B6-4DB5-AD972C7DB2B3}"/>
    <hyperlink ref="S75" r:id="rId15" xr:uid="{8B47CA35-5728-7A8A-87EF-58AB74D58DA6}"/>
    <hyperlink ref="U75" r:id="rId16" xr:uid="{3302961C-A84F-A03D-56B4-32626AF67D92}"/>
    <hyperlink ref="W75" r:id="rId17" xr:uid="{0CE10C66-9EA8-40EB-2422-3B7520CB14F4}"/>
    <hyperlink ref="Y75" r:id="rId18" xr:uid="{4C2DC08C-C4A8-502E-8159-4C85C1C6671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25B8D-303F-DA93-30B6-6EB065062C61}" mc:Ignorable="x14ac xr xr2 xr3">
  <sheetPr>
    <tabColor rgb="FFE26B0A"/>
  </sheetPr>
  <dimension ref="A1:AL40"/>
  <sheetViews>
    <sheetView topLeftCell="A1" showGridLines="0" zoomScale="90" workbookViewId="0">
      <selection activeCell="Y25" sqref="Y25"/>
    </sheetView>
  </sheetViews>
  <sheetFormatPr defaultColWidth="10.57421875" customHeight="1" defaultRowHeight="15"/>
  <cols>
    <col min="1" max="2" style="7348" width="9.140625" hidden="1" customWidth="1"/>
    <col min="3" max="3" style="7348" width="4.00390625" customWidth="1"/>
    <col min="4" max="4" style="7348" width="6.00390625" customWidth="1"/>
    <col min="5" max="5" style="7348" width="36.00390625" customWidth="1"/>
    <col min="6" max="6" style="7348" width="9.00390625" customWidth="1"/>
    <col min="7" max="7" style="7348" width="25.7109375" hidden="1" customWidth="1"/>
    <col min="8" max="8" style="7348" width="33.7109375" hidden="1" customWidth="1"/>
    <col min="9" max="9" style="7348" width="25.7109375" customWidth="1"/>
    <col min="10" max="10" style="7348" width="33.00390625" customWidth="1"/>
    <col min="11" max="11" style="7348" width="25.7109375" customWidth="1"/>
    <col min="12" max="12" style="7348" width="33.7109375" customWidth="1"/>
    <col min="13" max="13" style="7348" width="25.7109375" customWidth="1"/>
    <col min="14" max="14" style="7348" width="33.7109375" customWidth="1"/>
    <col min="15" max="15" style="7348" width="25.7109375" customWidth="1"/>
    <col min="16" max="16" style="7348" width="33.7109375" customWidth="1"/>
    <col min="17" max="17" style="7348" width="25.7109375" customWidth="1"/>
    <col min="18" max="18" style="7348" width="33.7109375" customWidth="1"/>
    <col min="19" max="19" style="7348" width="25.7109375" customWidth="1"/>
    <col min="20" max="20" style="7348" width="33.7109375" customWidth="1"/>
    <col min="21" max="21" style="7348" width="25.7109375" customWidth="1"/>
    <col min="22" max="22" style="7348" width="33.7109375" customWidth="1"/>
    <col min="23" max="23" style="7348" width="25.7109375" customWidth="1"/>
    <col min="24" max="24" style="7348" width="33.7109375" customWidth="1"/>
    <col min="25" max="25" style="7348" width="25.7109375" customWidth="1"/>
    <col min="26" max="26" style="7348" width="33.7109375" customWidth="1"/>
    <col min="27" max="27" style="7348" width="93.00390625" customWidth="1"/>
    <col min="28" max="37" style="7348" width="10.00390625" customWidth="1"/>
    <col min="38" max="38" style="7348" width="10.57421875" hidden="1"/>
  </cols>
  <sheetData>
    <row customHeight="1" ht="22.5" hidden="1">
      <c r="G1" s="3449">
        <v>4</v>
      </c>
      <c r="I1" s="3449">
        <v>4</v>
      </c>
      <c r="K1" s="3449">
        <v>4</v>
      </c>
      <c r="M1" s="3449">
        <v>4</v>
      </c>
      <c r="O1" s="3449">
        <v>4</v>
      </c>
      <c r="Q1" s="3449">
        <v>4</v>
      </c>
      <c r="S1" s="3449">
        <v>4</v>
      </c>
      <c r="U1" s="3449">
        <v>4</v>
      </c>
      <c r="W1" s="3449">
        <v>4</v>
      </c>
      <c r="Y1" s="3449">
        <v>4</v>
      </c>
      <c r="AL1" s="3449" t="s">
        <v>14</v>
      </c>
    </row>
    <row customHeight="1" ht="15" hidden="1">
      <c r="AL2" s="3449">
        <v>0</v>
      </c>
    </row>
    <row customHeight="1" ht="22.5" hidden="1">
      <c r="C3" s="3712" t="s">
        <v>119</v>
      </c>
      <c r="D3" s="3934" t="str">
        <f>B3&amp;".1"</f>
        <v>.1</v>
      </c>
      <c r="E3" s="347" t="s">
        <v>959</v>
      </c>
      <c r="F3" s="3436" t="s">
        <v>321</v>
      </c>
      <c r="G3" s="1018"/>
      <c r="H3" s="812"/>
      <c r="I3" s="1018"/>
      <c r="J3" s="812"/>
      <c r="K3" s="1018"/>
      <c r="L3" s="812"/>
      <c r="M3" s="1018"/>
      <c r="N3" s="812"/>
      <c r="O3" s="1018"/>
      <c r="P3" s="812"/>
      <c r="Q3" s="1018"/>
      <c r="R3" s="812"/>
      <c r="S3" s="1018"/>
      <c r="T3" s="812"/>
      <c r="U3" s="1018"/>
      <c r="V3" s="812"/>
      <c r="W3" s="1018"/>
      <c r="X3" s="812"/>
      <c r="Y3" s="1018"/>
      <c r="Z3" s="812"/>
      <c r="AA3" s="3764" t="s">
        <v>960</v>
      </c>
      <c r="AL3" s="3432">
        <v>0</v>
      </c>
    </row>
    <row customHeight="1" ht="15" hidden="1">
      <c r="C4" s="3712"/>
      <c r="D4" s="3934" t="str">
        <f>B3&amp;".2"</f>
        <v>.2</v>
      </c>
      <c r="E4" s="347" t="s">
        <v>961</v>
      </c>
      <c r="F4" s="3436" t="s">
        <v>321</v>
      </c>
      <c r="G4" s="1022" t="s">
        <v>22</v>
      </c>
      <c r="H4" s="812"/>
      <c r="I4" s="1022" t="s">
        <v>22</v>
      </c>
      <c r="J4" s="812"/>
      <c r="K4" s="1022" t="s">
        <v>22</v>
      </c>
      <c r="L4" s="812"/>
      <c r="M4" s="1022" t="s">
        <v>22</v>
      </c>
      <c r="N4" s="812"/>
      <c r="O4" s="1022" t="s">
        <v>22</v>
      </c>
      <c r="P4" s="812"/>
      <c r="Q4" s="1022" t="s">
        <v>22</v>
      </c>
      <c r="R4" s="812"/>
      <c r="S4" s="1022" t="s">
        <v>22</v>
      </c>
      <c r="T4" s="812"/>
      <c r="U4" s="1022" t="s">
        <v>22</v>
      </c>
      <c r="V4" s="812"/>
      <c r="W4" s="1022" t="s">
        <v>22</v>
      </c>
      <c r="X4" s="812"/>
      <c r="Y4" s="1022" t="s">
        <v>22</v>
      </c>
      <c r="Z4" s="812"/>
      <c r="AA4" s="3764" t="s">
        <v>962</v>
      </c>
      <c r="AL4" s="3432">
        <v>0</v>
      </c>
    </row>
    <row customHeight="1" ht="15" hidden="1">
      <c r="AL5" s="3449">
        <v>0</v>
      </c>
    </row>
    <row customHeight="1" ht="22.5" hidden="1">
      <c r="C6" s="3712" t="s">
        <v>119</v>
      </c>
      <c r="D6" s="3934" t="str">
        <f>B6&amp;".1"</f>
        <v>.1</v>
      </c>
      <c r="E6" s="347" t="s">
        <v>963</v>
      </c>
      <c r="F6" s="3436" t="s">
        <v>321</v>
      </c>
      <c r="G6" s="1018"/>
      <c r="H6" s="812"/>
      <c r="I6" s="1018"/>
      <c r="J6" s="812"/>
      <c r="K6" s="1018"/>
      <c r="L6" s="812"/>
      <c r="M6" s="1018"/>
      <c r="N6" s="812"/>
      <c r="O6" s="1018"/>
      <c r="P6" s="812"/>
      <c r="Q6" s="1018"/>
      <c r="R6" s="812"/>
      <c r="S6" s="1018"/>
      <c r="T6" s="812"/>
      <c r="U6" s="1018"/>
      <c r="V6" s="812"/>
      <c r="W6" s="1018"/>
      <c r="X6" s="812"/>
      <c r="Y6" s="1018"/>
      <c r="Z6" s="812"/>
      <c r="AA6" s="3764" t="s">
        <v>964</v>
      </c>
      <c r="AL6" s="3432">
        <v>0</v>
      </c>
    </row>
    <row customHeight="1" ht="15" hidden="1">
      <c r="C7" s="3712"/>
      <c r="D7" s="3934" t="str">
        <f>B6&amp;".2"</f>
        <v>.2</v>
      </c>
      <c r="E7" s="347" t="s">
        <v>961</v>
      </c>
      <c r="F7" s="3436" t="s">
        <v>321</v>
      </c>
      <c r="G7" s="1022" t="s">
        <v>22</v>
      </c>
      <c r="H7" s="812"/>
      <c r="I7" s="1022" t="s">
        <v>22</v>
      </c>
      <c r="J7" s="812"/>
      <c r="K7" s="1022" t="s">
        <v>22</v>
      </c>
      <c r="L7" s="812"/>
      <c r="M7" s="1022" t="s">
        <v>22</v>
      </c>
      <c r="N7" s="812"/>
      <c r="O7" s="1022" t="s">
        <v>22</v>
      </c>
      <c r="P7" s="812"/>
      <c r="Q7" s="1022" t="s">
        <v>22</v>
      </c>
      <c r="R7" s="812"/>
      <c r="S7" s="1022" t="s">
        <v>22</v>
      </c>
      <c r="T7" s="812"/>
      <c r="U7" s="1022" t="s">
        <v>22</v>
      </c>
      <c r="V7" s="812"/>
      <c r="W7" s="1022" t="s">
        <v>22</v>
      </c>
      <c r="X7" s="812"/>
      <c r="Y7" s="1022" t="s">
        <v>22</v>
      </c>
      <c r="Z7" s="812"/>
      <c r="AA7" s="3764" t="s">
        <v>962</v>
      </c>
      <c r="AL7" s="3432">
        <v>0</v>
      </c>
    </row>
    <row customHeight="1" ht="15" hidden="1">
      <c r="AL8" s="3449">
        <v>0</v>
      </c>
    </row>
    <row customHeight="1" ht="22.5" hidden="1">
      <c r="C9" s="3712" t="s">
        <v>119</v>
      </c>
      <c r="D9" s="3934" t="str">
        <f>B9&amp;".1"</f>
        <v>.1</v>
      </c>
      <c r="E9" s="347" t="s">
        <v>965</v>
      </c>
      <c r="F9" s="3436" t="s">
        <v>321</v>
      </c>
      <c r="G9" s="351" t="s">
        <v>22</v>
      </c>
      <c r="H9" s="812" t="s">
        <v>22</v>
      </c>
      <c r="I9" s="351" t="s">
        <v>22</v>
      </c>
      <c r="J9" s="812" t="s">
        <v>22</v>
      </c>
      <c r="K9" s="351" t="s">
        <v>22</v>
      </c>
      <c r="L9" s="812" t="s">
        <v>22</v>
      </c>
      <c r="M9" s="351" t="s">
        <v>22</v>
      </c>
      <c r="N9" s="812" t="s">
        <v>22</v>
      </c>
      <c r="O9" s="351" t="s">
        <v>22</v>
      </c>
      <c r="P9" s="812" t="s">
        <v>22</v>
      </c>
      <c r="Q9" s="351" t="s">
        <v>22</v>
      </c>
      <c r="R9" s="812" t="s">
        <v>22</v>
      </c>
      <c r="S9" s="351" t="s">
        <v>22</v>
      </c>
      <c r="T9" s="812" t="s">
        <v>22</v>
      </c>
      <c r="U9" s="351" t="s">
        <v>22</v>
      </c>
      <c r="V9" s="812" t="s">
        <v>22</v>
      </c>
      <c r="W9" s="351" t="s">
        <v>22</v>
      </c>
      <c r="X9" s="812" t="s">
        <v>22</v>
      </c>
      <c r="Y9" s="351" t="s">
        <v>22</v>
      </c>
      <c r="Z9" s="812" t="s">
        <v>22</v>
      </c>
      <c r="AA9" s="3764"/>
      <c r="AL9" s="3432">
        <v>0</v>
      </c>
    </row>
    <row customHeight="1" ht="15" hidden="1">
      <c r="C10" s="3712"/>
      <c r="D10" s="3934" t="str">
        <f>B9&amp;".2"</f>
        <v>.2</v>
      </c>
      <c r="E10" s="347" t="s">
        <v>966</v>
      </c>
      <c r="F10" s="3436" t="s">
        <v>321</v>
      </c>
      <c r="G10" s="99" t="s">
        <v>22</v>
      </c>
      <c r="H10" s="812" t="s">
        <v>22</v>
      </c>
      <c r="I10" s="99" t="s">
        <v>22</v>
      </c>
      <c r="J10" s="812" t="s">
        <v>22</v>
      </c>
      <c r="K10" s="99" t="s">
        <v>22</v>
      </c>
      <c r="L10" s="812" t="s">
        <v>22</v>
      </c>
      <c r="M10" s="99" t="s">
        <v>22</v>
      </c>
      <c r="N10" s="812" t="s">
        <v>22</v>
      </c>
      <c r="O10" s="99" t="s">
        <v>22</v>
      </c>
      <c r="P10" s="812" t="s">
        <v>22</v>
      </c>
      <c r="Q10" s="99" t="s">
        <v>22</v>
      </c>
      <c r="R10" s="812" t="s">
        <v>22</v>
      </c>
      <c r="S10" s="99" t="s">
        <v>22</v>
      </c>
      <c r="T10" s="812" t="s">
        <v>22</v>
      </c>
      <c r="U10" s="99" t="s">
        <v>22</v>
      </c>
      <c r="V10" s="812" t="s">
        <v>22</v>
      </c>
      <c r="W10" s="99" t="s">
        <v>22</v>
      </c>
      <c r="X10" s="812" t="s">
        <v>22</v>
      </c>
      <c r="Y10" s="99" t="s">
        <v>22</v>
      </c>
      <c r="Z10" s="812" t="s">
        <v>22</v>
      </c>
      <c r="AA10" s="3764" t="s">
        <v>967</v>
      </c>
      <c r="AL10" s="3432">
        <v>0</v>
      </c>
    </row>
    <row customHeight="1" ht="15" hidden="1">
      <c r="C11" s="3712"/>
      <c r="D11" s="3934" t="str">
        <f>B9&amp;".3"</f>
        <v>.3</v>
      </c>
      <c r="E11" s="347" t="s">
        <v>968</v>
      </c>
      <c r="F11" s="3436" t="s">
        <v>321</v>
      </c>
      <c r="G11" s="99" t="s">
        <v>22</v>
      </c>
      <c r="H11" s="812" t="s">
        <v>22</v>
      </c>
      <c r="I11" s="99" t="s">
        <v>22</v>
      </c>
      <c r="J11" s="812" t="s">
        <v>22</v>
      </c>
      <c r="K11" s="99" t="s">
        <v>22</v>
      </c>
      <c r="L11" s="812" t="s">
        <v>22</v>
      </c>
      <c r="M11" s="99" t="s">
        <v>22</v>
      </c>
      <c r="N11" s="812" t="s">
        <v>22</v>
      </c>
      <c r="O11" s="99" t="s">
        <v>22</v>
      </c>
      <c r="P11" s="812" t="s">
        <v>22</v>
      </c>
      <c r="Q11" s="99" t="s">
        <v>22</v>
      </c>
      <c r="R11" s="812" t="s">
        <v>22</v>
      </c>
      <c r="S11" s="99" t="s">
        <v>22</v>
      </c>
      <c r="T11" s="812" t="s">
        <v>22</v>
      </c>
      <c r="U11" s="99" t="s">
        <v>22</v>
      </c>
      <c r="V11" s="812" t="s">
        <v>22</v>
      </c>
      <c r="W11" s="99" t="s">
        <v>22</v>
      </c>
      <c r="X11" s="812" t="s">
        <v>22</v>
      </c>
      <c r="Y11" s="99" t="s">
        <v>22</v>
      </c>
      <c r="Z11" s="812" t="s">
        <v>22</v>
      </c>
      <c r="AA11" s="3764" t="s">
        <v>969</v>
      </c>
      <c r="AL11" s="3432">
        <v>0</v>
      </c>
    </row>
    <row customHeight="1" ht="15" hidden="1">
      <c r="AL12" s="3449">
        <v>0</v>
      </c>
    </row>
    <row customHeight="1" ht="33.75" hidden="1">
      <c r="C13" s="3712" t="s">
        <v>119</v>
      </c>
      <c r="D13" s="3934" t="str">
        <f>B13&amp;".1"</f>
        <v>.1</v>
      </c>
      <c r="E13" s="347" t="s">
        <v>970</v>
      </c>
      <c r="F13" s="3436" t="s">
        <v>321</v>
      </c>
      <c r="G13" s="351" t="s">
        <v>22</v>
      </c>
      <c r="H13" s="812" t="s">
        <v>22</v>
      </c>
      <c r="I13" s="351" t="s">
        <v>22</v>
      </c>
      <c r="J13" s="812" t="s">
        <v>22</v>
      </c>
      <c r="K13" s="351" t="s">
        <v>22</v>
      </c>
      <c r="L13" s="812" t="s">
        <v>22</v>
      </c>
      <c r="M13" s="351" t="s">
        <v>22</v>
      </c>
      <c r="N13" s="812" t="s">
        <v>22</v>
      </c>
      <c r="O13" s="351" t="s">
        <v>22</v>
      </c>
      <c r="P13" s="812" t="s">
        <v>22</v>
      </c>
      <c r="Q13" s="351" t="s">
        <v>22</v>
      </c>
      <c r="R13" s="812" t="s">
        <v>22</v>
      </c>
      <c r="S13" s="351" t="s">
        <v>22</v>
      </c>
      <c r="T13" s="812" t="s">
        <v>22</v>
      </c>
      <c r="U13" s="351" t="s">
        <v>22</v>
      </c>
      <c r="V13" s="812" t="s">
        <v>22</v>
      </c>
      <c r="W13" s="351" t="s">
        <v>22</v>
      </c>
      <c r="X13" s="812" t="s">
        <v>22</v>
      </c>
      <c r="Y13" s="351" t="s">
        <v>22</v>
      </c>
      <c r="Z13" s="812" t="s">
        <v>22</v>
      </c>
      <c r="AA13" s="3764" t="s">
        <v>971</v>
      </c>
      <c r="AL13" s="3432">
        <v>0</v>
      </c>
    </row>
    <row customHeight="1" ht="15" hidden="1">
      <c r="C14" s="3712"/>
      <c r="D14" s="3934" t="str">
        <f>B13&amp;".2"</f>
        <v>.2</v>
      </c>
      <c r="E14" s="347" t="s">
        <v>972</v>
      </c>
      <c r="F14" s="3436" t="s">
        <v>321</v>
      </c>
      <c r="G14" s="99" t="s">
        <v>22</v>
      </c>
      <c r="H14" s="812" t="s">
        <v>22</v>
      </c>
      <c r="I14" s="99" t="s">
        <v>22</v>
      </c>
      <c r="J14" s="812" t="s">
        <v>22</v>
      </c>
      <c r="K14" s="99" t="s">
        <v>22</v>
      </c>
      <c r="L14" s="812" t="s">
        <v>22</v>
      </c>
      <c r="M14" s="99" t="s">
        <v>22</v>
      </c>
      <c r="N14" s="812" t="s">
        <v>22</v>
      </c>
      <c r="O14" s="99" t="s">
        <v>22</v>
      </c>
      <c r="P14" s="812" t="s">
        <v>22</v>
      </c>
      <c r="Q14" s="99" t="s">
        <v>22</v>
      </c>
      <c r="R14" s="812" t="s">
        <v>22</v>
      </c>
      <c r="S14" s="99" t="s">
        <v>22</v>
      </c>
      <c r="T14" s="812" t="s">
        <v>22</v>
      </c>
      <c r="U14" s="99" t="s">
        <v>22</v>
      </c>
      <c r="V14" s="812" t="s">
        <v>22</v>
      </c>
      <c r="W14" s="99" t="s">
        <v>22</v>
      </c>
      <c r="X14" s="812" t="s">
        <v>22</v>
      </c>
      <c r="Y14" s="99" t="s">
        <v>22</v>
      </c>
      <c r="Z14" s="812" t="s">
        <v>22</v>
      </c>
      <c r="AA14" s="3764" t="s">
        <v>973</v>
      </c>
      <c r="AL14" s="3432">
        <v>0</v>
      </c>
    </row>
    <row customHeight="1" ht="15" hidden="1">
      <c r="AL15" s="3449">
        <v>0</v>
      </c>
    </row>
    <row customHeight="1" ht="15" hidden="1">
      <c r="AL16" s="3449">
        <v>0</v>
      </c>
    </row>
    <row customHeight="1" ht="15" hidden="1">
      <c r="AL17" s="3449">
        <v>0</v>
      </c>
    </row>
    <row customHeight="1" ht="15" hidden="1">
      <c r="AL18" s="3449">
        <v>0</v>
      </c>
    </row>
    <row customHeight="1" ht="15" hidden="1">
      <c r="AL19" s="3449">
        <v>0</v>
      </c>
    </row>
    <row customHeight="1" ht="15" hidden="1">
      <c r="AL20" s="3449">
        <v>0</v>
      </c>
    </row>
    <row customHeight="1" ht="15.75">
      <c r="AL21" s="3432">
        <v>15</v>
      </c>
    </row>
    <row customHeight="1" ht="23.25">
      <c r="D22" s="36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646"/>
      <c r="F22" s="3646"/>
      <c r="G22" s="3646"/>
      <c r="H22" s="3646"/>
      <c r="I22" s="3646"/>
      <c r="K22" s="3646"/>
      <c r="L22" s="3646"/>
      <c r="M22" s="3646"/>
      <c r="N22" s="3646"/>
      <c r="O22" s="3646"/>
      <c r="P22" s="3646"/>
      <c r="Q22" s="3646"/>
      <c r="R22" s="3646"/>
      <c r="S22" s="3646"/>
      <c r="T22" s="3646"/>
      <c r="U22" s="3646"/>
      <c r="V22" s="3646"/>
      <c r="W22" s="3646"/>
      <c r="X22" s="3646"/>
      <c r="Y22" s="3646"/>
      <c r="Z22" s="3646"/>
      <c r="AL22" s="3432">
        <v>22</v>
      </c>
    </row>
    <row customHeight="1" ht="15.75">
      <c r="D23" s="3554" t="str">
        <f>IF(org=0,"Не определено",org)</f>
        <v>ООО "ТеплоЭлектроГенерирующая Компания"</v>
      </c>
      <c r="E23" s="3554"/>
      <c r="F23" s="3554"/>
      <c r="G23" s="3554"/>
      <c r="H23" s="3554"/>
      <c r="I23" s="3554"/>
      <c r="K23" s="3554"/>
      <c r="L23" s="3554"/>
      <c r="M23" s="3554"/>
      <c r="N23" s="3554"/>
      <c r="O23" s="3554"/>
      <c r="P23" s="3554"/>
      <c r="Q23" s="3554"/>
      <c r="R23" s="3554"/>
      <c r="S23" s="3554"/>
      <c r="T23" s="3554"/>
      <c r="U23" s="3554"/>
      <c r="V23" s="3554"/>
      <c r="W23" s="3554"/>
      <c r="X23" s="3554"/>
      <c r="Y23" s="3554"/>
      <c r="Z23" s="3554"/>
      <c r="AL23" s="3432">
        <v>15</v>
      </c>
    </row>
    <row customHeight="1" ht="15.75">
      <c r="G24" s="3449">
        <v>22</v>
      </c>
      <c r="H24" s="3575"/>
      <c r="I24" s="3449">
        <v>22</v>
      </c>
      <c r="J24" s="3575"/>
      <c r="K24" s="3399" t="s">
        <v>22</v>
      </c>
      <c r="L24" s="3575"/>
      <c r="M24" s="3399" t="s">
        <v>22</v>
      </c>
      <c r="N24" s="3575"/>
      <c r="O24" s="3399" t="s">
        <v>22</v>
      </c>
      <c r="P24" s="3575"/>
      <c r="Q24" s="3399" t="s">
        <v>22</v>
      </c>
      <c r="R24" s="3575"/>
      <c r="S24" s="3399" t="s">
        <v>22</v>
      </c>
      <c r="T24" s="3575"/>
      <c r="U24" s="3399" t="s">
        <v>22</v>
      </c>
      <c r="V24" s="3575"/>
      <c r="W24" s="3399" t="s">
        <v>22</v>
      </c>
      <c r="X24" s="3575"/>
      <c r="Y24" s="3399" t="s">
        <v>22</v>
      </c>
      <c r="Z24" s="3575"/>
      <c r="AL24" s="3432">
        <v>15</v>
      </c>
    </row>
    <row customHeight="1" ht="1.05">
      <c r="H25" s="3575"/>
      <c r="I25" s="3449" t="s">
        <v>116</v>
      </c>
      <c r="J25" s="3575"/>
      <c r="K25" s="3449" t="s">
        <v>121</v>
      </c>
      <c r="L25" s="3575"/>
      <c r="M25" s="3449" t="s">
        <v>123</v>
      </c>
      <c r="N25" s="3575"/>
      <c r="O25" s="3449" t="s">
        <v>125</v>
      </c>
      <c r="P25" s="3575"/>
      <c r="Q25" s="3449" t="s">
        <v>127</v>
      </c>
      <c r="R25" s="3575"/>
      <c r="S25" s="3449" t="s">
        <v>129</v>
      </c>
      <c r="T25" s="3575"/>
      <c r="U25" s="3449" t="s">
        <v>131</v>
      </c>
      <c r="V25" s="3575"/>
      <c r="W25" s="3449" t="s">
        <v>133</v>
      </c>
      <c r="X25" s="3575"/>
      <c r="Y25" s="3449" t="s">
        <v>136</v>
      </c>
      <c r="Z25" s="3575"/>
      <c r="AL25" s="3432">
        <v>1</v>
      </c>
    </row>
    <row customHeight="1" ht="15.75">
      <c r="D26" s="3924"/>
      <c r="E26" s="3925" t="s">
        <v>103</v>
      </c>
      <c r="F26" s="3926"/>
      <c r="G26" s="3927" t="str">
        <f>IF(G25="","",INDEX(DIFFERENTIATION_UNMERGE_VD,MATCH(G25,DIFFERENTIATION_ID_DIFF,0)))</f>
        <v/>
      </c>
      <c r="H26" s="3928"/>
      <c r="I26" s="3927" t="str">
        <f>IF(I25="","",INDEX(DIFFERENTIATION_UNMERGE_VD,MATCH(I25,DIFFERENTIATION_ID_DIFF,0)))</f>
        <v>Горячее водоснабжение</v>
      </c>
      <c r="J26" s="3928"/>
      <c r="K26" s="3927" t="str">
        <f>IF(K25="","",INDEX(DIFFERENTIATION_UNMERGE_VD,MATCH(K25,DIFFERENTIATION_ID_DIFF,0)))</f>
        <v>Горячее водоснабжение</v>
      </c>
      <c r="L26" s="3928"/>
      <c r="M26" s="3927" t="str">
        <f>IF(M25="","",INDEX(DIFFERENTIATION_UNMERGE_VD,MATCH(M25,DIFFERENTIATION_ID_DIFF,0)))</f>
        <v>Горячее водоснабжение</v>
      </c>
      <c r="N26" s="3928"/>
      <c r="O26" s="3927" t="str">
        <f>IF(O25="","",INDEX(DIFFERENTIATION_UNMERGE_VD,MATCH(O25,DIFFERENTIATION_ID_DIFF,0)))</f>
        <v>Горячее водоснабжение</v>
      </c>
      <c r="P26" s="3928"/>
      <c r="Q26" s="3927" t="str">
        <f>IF(Q25="","",INDEX(DIFFERENTIATION_UNMERGE_VD,MATCH(Q25,DIFFERENTIATION_ID_DIFF,0)))</f>
        <v>Горячее водоснабжение</v>
      </c>
      <c r="R26" s="3928"/>
      <c r="S26" s="3927" t="str">
        <f>IF(S25="","",INDEX(DIFFERENTIATION_UNMERGE_VD,MATCH(S25,DIFFERENTIATION_ID_DIFF,0)))</f>
        <v>Горячее водоснабжение</v>
      </c>
      <c r="T26" s="3928"/>
      <c r="U26" s="3927" t="str">
        <f>IF(U25="","",INDEX(DIFFERENTIATION_UNMERGE_VD,MATCH(U25,DIFFERENTIATION_ID_DIFF,0)))</f>
        <v>Горячее водоснабжение</v>
      </c>
      <c r="V26" s="3928"/>
      <c r="W26" s="3927" t="str">
        <f>IF(W25="","",INDEX(DIFFERENTIATION_UNMERGE_VD,MATCH(W25,DIFFERENTIATION_ID_DIFF,0)))</f>
        <v>Горячее водоснабжение</v>
      </c>
      <c r="X26" s="3928"/>
      <c r="Y26" s="3927" t="str">
        <f>IF(Y25="","",INDEX(DIFFERENTIATION_UNMERGE_VD,MATCH(Y25,DIFFERENTIATION_ID_DIFF,0)))</f>
        <v>Горячее водоснабжение</v>
      </c>
      <c r="Z26" s="3928"/>
      <c r="AA26" s="3558" t="s">
        <v>316</v>
      </c>
      <c r="AL26" s="3432">
        <v>15</v>
      </c>
    </row>
    <row customHeight="1" ht="15.75">
      <c r="D27" s="3924"/>
      <c r="E27" s="3925" t="s">
        <v>579</v>
      </c>
      <c r="F27" s="3926"/>
      <c r="G27" s="3927" t="str">
        <f>IF(G25="","",INDEX(DIFFERENTIATION_UNMERGE_AREA,MATCH(G25,DIFFERENTIATION_ID_DIFF,0)))</f>
        <v/>
      </c>
      <c r="H27" s="3928"/>
      <c r="I27" s="3927" t="str">
        <f>IF(I25="","",INDEX(DIFFERENTIATION_UNMERGE_AREA,MATCH(I25,DIFFERENTIATION_ID_DIFF,0)))</f>
        <v>Территория 1</v>
      </c>
      <c r="J27" s="3928"/>
      <c r="K27" s="3927" t="str">
        <f>IF(K25="","",INDEX(DIFFERENTIATION_UNMERGE_AREA,MATCH(K25,DIFFERENTIATION_ID_DIFF,0)))</f>
        <v>Территория 1</v>
      </c>
      <c r="L27" s="3928"/>
      <c r="M27" s="3927" t="str">
        <f>IF(M25="","",INDEX(DIFFERENTIATION_UNMERGE_AREA,MATCH(M25,DIFFERENTIATION_ID_DIFF,0)))</f>
        <v>Территория 1</v>
      </c>
      <c r="N27" s="3928"/>
      <c r="O27" s="3927" t="str">
        <f>IF(O25="","",INDEX(DIFFERENTIATION_UNMERGE_AREA,MATCH(O25,DIFFERENTIATION_ID_DIFF,0)))</f>
        <v>Территория 1</v>
      </c>
      <c r="P27" s="3928"/>
      <c r="Q27" s="3927" t="str">
        <f>IF(Q25="","",INDEX(DIFFERENTIATION_UNMERGE_AREA,MATCH(Q25,DIFFERENTIATION_ID_DIFF,0)))</f>
        <v>Территория 1</v>
      </c>
      <c r="R27" s="3928"/>
      <c r="S27" s="3927" t="str">
        <f>IF(S25="","",INDEX(DIFFERENTIATION_UNMERGE_AREA,MATCH(S25,DIFFERENTIATION_ID_DIFF,0)))</f>
        <v>Территория 1</v>
      </c>
      <c r="T27" s="3928"/>
      <c r="U27" s="3927" t="str">
        <f>IF(U25="","",INDEX(DIFFERENTIATION_UNMERGE_AREA,MATCH(U25,DIFFERENTIATION_ID_DIFF,0)))</f>
        <v>Территория 1</v>
      </c>
      <c r="V27" s="3928"/>
      <c r="W27" s="3927" t="str">
        <f>IF(W25="","",INDEX(DIFFERENTIATION_UNMERGE_AREA,MATCH(W25,DIFFERENTIATION_ID_DIFF,0)))</f>
        <v>Территория 1</v>
      </c>
      <c r="X27" s="3928"/>
      <c r="Y27" s="3927" t="str">
        <f>IF(Y25="","",INDEX(DIFFERENTIATION_UNMERGE_AREA,MATCH(Y25,DIFFERENTIATION_ID_DIFF,0)))</f>
        <v>Территория 1</v>
      </c>
      <c r="Z27" s="3928"/>
      <c r="AA27" s="3560"/>
      <c r="AL27" s="3432">
        <v>15</v>
      </c>
    </row>
    <row customHeight="1" ht="15.75">
      <c r="D28" s="3924"/>
      <c r="E28" s="3925" t="s">
        <v>580</v>
      </c>
      <c r="F28" s="3926"/>
      <c r="G28" s="3927" t="str">
        <f>IF(G25="","",INDEX(DIFFERENTIATION_UNMERGE_SYSTEM,MATCH(G25,DIFFERENTIATION_ID_DIFF,0)))</f>
        <v/>
      </c>
      <c r="H28" s="3928"/>
      <c r="I28" s="3927" t="str">
        <f>IF(I25="","",INDEX(DIFFERENTIATION_UNMERGE_SYSTEM,MATCH(I25,DIFFERENTIATION_ID_DIFF,0)))</f>
        <v>г. Саратов, ул.Деловая, 22, п. Юбилейный
</v>
      </c>
      <c r="J28" s="3928"/>
      <c r="K28" s="3927" t="str">
        <f>IF(K25="","",INDEX(DIFFERENTIATION_UNMERGE_SYSTEM,MATCH(K25,DIFFERENTIATION_ID_DIFF,0)))</f>
        <v>г. Саратов, ул. Вавилова,8/26 А
</v>
      </c>
      <c r="L28" s="3928"/>
      <c r="M28" s="3927" t="str">
        <f>IF(M25="","",INDEX(DIFFERENTIATION_UNMERGE_SYSTEM,MATCH(M25,DIFFERENTIATION_ID_DIFF,0)))</f>
        <v>г. Саратов, пр. 50 лет Октября, 60, 74, 108, ЦТП Волочаевский пр., 5, ЦТП Соколовая, 145/153
</v>
      </c>
      <c r="N28" s="3928"/>
      <c r="O28" s="3927" t="str">
        <f>IF(O25="","",INDEX(DIFFERENTIATION_UNMERGE_SYSTEM,MATCH(O25,DIFFERENTIATION_ID_DIFF,0)))</f>
        <v>г. Саратов, ул. Шелковичная, 186, ул. Шелковичная, 178, ул. Шелковичная, 155/161, ул. 2-я Садовая, 106 б.
</v>
      </c>
      <c r="P28" s="3928"/>
      <c r="Q28" s="3927" t="str">
        <f>IF(Q25="","",INDEX(DIFFERENTIATION_UNMERGE_SYSTEM,MATCH(Q25,DIFFERENTIATION_ID_DIFF,0)))</f>
        <v>г. Саратов, ул. Ломоносова, 1
</v>
      </c>
      <c r="R28" s="3928"/>
      <c r="S28" s="3927" t="str">
        <f>IF(S25="","",INDEX(DIFFERENTIATION_UNMERGE_SYSTEM,MATCH(S25,DIFFERENTIATION_ID_DIFF,0)))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28" s="3928"/>
      <c r="U28" s="3927" t="str">
        <f>IF(U25="","",INDEX(DIFFERENTIATION_UNMERGE_SYSTEM,MATCH(U25,DIFFERENTIATION_ID_DIFF,0)))</f>
        <v>г. Саратов, ул. Огородная, 77
</v>
      </c>
      <c r="V28" s="3928"/>
      <c r="W28" s="3927" t="str">
        <f>IF(W25="","",INDEX(DIFFERENTIATION_UNMERGE_SYSTEM,MATCH(W25,DIFFERENTIATION_ID_DIFF,0)))</f>
        <v>г. Саратов, ул. Танкистов, 89
</v>
      </c>
      <c r="X28" s="3928"/>
      <c r="Y28" s="3927" t="str">
        <f>IF(Y25="","",INDEX(DIFFERENTIATION_UNMERGE_SYSTEM,MATCH(Y25,DIFFERENTIATION_ID_DIFF,0)))</f>
        <v>г. Саратов, ул. Политехническая, 47
</v>
      </c>
      <c r="Z28" s="3928"/>
      <c r="AA28" s="3560"/>
      <c r="AL28" s="3432">
        <v>15</v>
      </c>
    </row>
    <row customHeight="1" ht="15.75">
      <c r="D29" s="3929" t="s">
        <v>315</v>
      </c>
      <c r="E29" s="3930"/>
      <c r="F29" s="3930"/>
      <c r="G29" s="3925"/>
      <c r="H29" s="3925"/>
      <c r="I29" s="3925"/>
      <c r="J29" s="3926"/>
      <c r="K29" s="3925"/>
      <c r="L29" s="3925"/>
      <c r="M29" s="3925"/>
      <c r="N29" s="3925"/>
      <c r="O29" s="3925"/>
      <c r="P29" s="3925"/>
      <c r="Q29" s="3925"/>
      <c r="R29" s="3925"/>
      <c r="S29" s="3925"/>
      <c r="T29" s="3925"/>
      <c r="U29" s="3925"/>
      <c r="V29" s="3925"/>
      <c r="W29" s="3925"/>
      <c r="X29" s="3925"/>
      <c r="Y29" s="3925"/>
      <c r="Z29" s="3925"/>
      <c r="AA29" s="3560"/>
      <c r="AL29" s="3432">
        <v>15</v>
      </c>
    </row>
    <row customHeight="1" ht="35.699999999999996">
      <c r="D30" s="3480" t="s">
        <v>86</v>
      </c>
      <c r="E30" s="3480" t="s">
        <v>317</v>
      </c>
      <c r="F30" s="3480" t="s">
        <v>581</v>
      </c>
      <c r="G30" s="3437" t="s">
        <v>318</v>
      </c>
      <c r="H30" s="3480" t="s">
        <v>405</v>
      </c>
      <c r="I30" s="3437" t="s">
        <v>318</v>
      </c>
      <c r="J30" s="3480" t="s">
        <v>405</v>
      </c>
      <c r="K30" s="3437" t="s">
        <v>318</v>
      </c>
      <c r="L30" s="3480" t="s">
        <v>405</v>
      </c>
      <c r="M30" s="3437" t="s">
        <v>318</v>
      </c>
      <c r="N30" s="3480" t="s">
        <v>405</v>
      </c>
      <c r="O30" s="3437" t="s">
        <v>318</v>
      </c>
      <c r="P30" s="3480" t="s">
        <v>405</v>
      </c>
      <c r="Q30" s="3437" t="s">
        <v>318</v>
      </c>
      <c r="R30" s="3480" t="s">
        <v>405</v>
      </c>
      <c r="S30" s="3437" t="s">
        <v>318</v>
      </c>
      <c r="T30" s="3480" t="s">
        <v>405</v>
      </c>
      <c r="U30" s="3437" t="s">
        <v>318</v>
      </c>
      <c r="V30" s="3480" t="s">
        <v>405</v>
      </c>
      <c r="W30" s="3437" t="s">
        <v>318</v>
      </c>
      <c r="X30" s="3480" t="s">
        <v>405</v>
      </c>
      <c r="Y30" s="3437" t="s">
        <v>318</v>
      </c>
      <c r="Z30" s="3480" t="s">
        <v>405</v>
      </c>
      <c r="AA30" s="3562"/>
      <c r="AL30" s="3432">
        <v>34</v>
      </c>
    </row>
    <row customHeight="1" ht="15" hidden="1">
      <c r="AA31" s="3764"/>
      <c r="AL31" s="3432">
        <v>0</v>
      </c>
    </row>
    <row customHeight="1" ht="24">
      <c r="B32" s="3432" t="s">
        <v>974</v>
      </c>
      <c r="D32" s="1023">
        <v>1</v>
      </c>
      <c r="E32" s="1024" t="s">
        <v>975</v>
      </c>
      <c r="F32" s="3436" t="s">
        <v>321</v>
      </c>
      <c r="G32" s="3436" t="s">
        <v>321</v>
      </c>
      <c r="H32" s="3436" t="s">
        <v>321</v>
      </c>
      <c r="I32" s="3436" t="s">
        <v>321</v>
      </c>
      <c r="J32" s="3436" t="s">
        <v>321</v>
      </c>
      <c r="K32" s="3436" t="s">
        <v>321</v>
      </c>
      <c r="L32" s="3436" t="s">
        <v>321</v>
      </c>
      <c r="M32" s="3436" t="s">
        <v>321</v>
      </c>
      <c r="N32" s="3436" t="s">
        <v>321</v>
      </c>
      <c r="O32" s="3436" t="s">
        <v>321</v>
      </c>
      <c r="P32" s="3436" t="s">
        <v>321</v>
      </c>
      <c r="Q32" s="3436" t="s">
        <v>321</v>
      </c>
      <c r="R32" s="3436" t="s">
        <v>321</v>
      </c>
      <c r="S32" s="3436" t="s">
        <v>321</v>
      </c>
      <c r="T32" s="3436" t="s">
        <v>321</v>
      </c>
      <c r="U32" s="3436" t="s">
        <v>321</v>
      </c>
      <c r="V32" s="3436" t="s">
        <v>321</v>
      </c>
      <c r="W32" s="3436" t="s">
        <v>321</v>
      </c>
      <c r="X32" s="3436" t="s">
        <v>321</v>
      </c>
      <c r="Y32" s="3436" t="s">
        <v>321</v>
      </c>
      <c r="Z32" s="3436" t="s">
        <v>321</v>
      </c>
      <c r="AA32" s="3764"/>
      <c r="AL32" s="3432">
        <v>23</v>
      </c>
    </row>
    <row customHeight="1" ht="11.549999999999999">
      <c r="D33" s="3726"/>
      <c r="E33" s="167" t="s">
        <v>602</v>
      </c>
      <c r="F33" s="3727"/>
      <c r="G33" s="3727"/>
      <c r="H33" s="3727"/>
      <c r="I33" s="3727"/>
      <c r="J33" s="3727"/>
      <c r="K33" s="3727"/>
      <c r="L33" s="3727"/>
      <c r="M33" s="3727"/>
      <c r="N33" s="3727"/>
      <c r="O33" s="3727"/>
      <c r="P33" s="3727"/>
      <c r="Q33" s="3727"/>
      <c r="R33" s="3727"/>
      <c r="S33" s="3727"/>
      <c r="T33" s="3727"/>
      <c r="U33" s="3727"/>
      <c r="V33" s="3727"/>
      <c r="W33" s="3727"/>
      <c r="X33" s="3727"/>
      <c r="Y33" s="3727"/>
      <c r="Z33" s="3727"/>
      <c r="AA33" s="3935"/>
      <c r="AL33" s="3432">
        <v>11</v>
      </c>
    </row>
    <row customHeight="1" ht="24">
      <c r="B34" s="3447" t="s">
        <v>660</v>
      </c>
      <c r="D34" s="1023">
        <v>2</v>
      </c>
      <c r="E34" s="1024" t="s">
        <v>976</v>
      </c>
      <c r="F34" s="3436" t="s">
        <v>321</v>
      </c>
      <c r="G34" s="3436" t="s">
        <v>321</v>
      </c>
      <c r="H34" s="3436" t="s">
        <v>321</v>
      </c>
      <c r="I34" s="3436"/>
      <c r="J34" s="3436"/>
      <c r="K34" s="3436" t="s">
        <v>321</v>
      </c>
      <c r="L34" s="3436" t="s">
        <v>321</v>
      </c>
      <c r="M34" s="3436" t="s">
        <v>321</v>
      </c>
      <c r="N34" s="3436" t="s">
        <v>321</v>
      </c>
      <c r="O34" s="3436" t="s">
        <v>321</v>
      </c>
      <c r="P34" s="3436" t="s">
        <v>321</v>
      </c>
      <c r="Q34" s="3436" t="s">
        <v>321</v>
      </c>
      <c r="R34" s="3436" t="s">
        <v>321</v>
      </c>
      <c r="S34" s="3436" t="s">
        <v>321</v>
      </c>
      <c r="T34" s="3436" t="s">
        <v>321</v>
      </c>
      <c r="U34" s="3436" t="s">
        <v>321</v>
      </c>
      <c r="V34" s="3436" t="s">
        <v>321</v>
      </c>
      <c r="W34" s="3436" t="s">
        <v>321</v>
      </c>
      <c r="X34" s="3436" t="s">
        <v>321</v>
      </c>
      <c r="Y34" s="3436" t="s">
        <v>321</v>
      </c>
      <c r="Z34" s="3436" t="s">
        <v>321</v>
      </c>
      <c r="AA34" s="3764"/>
      <c r="AL34" s="3432">
        <v>23</v>
      </c>
    </row>
    <row customHeight="1" ht="11.549999999999999">
      <c r="D35" s="3726"/>
      <c r="E35" s="167" t="s">
        <v>977</v>
      </c>
      <c r="F35" s="3727"/>
      <c r="G35" s="3936"/>
      <c r="H35" s="3727"/>
      <c r="I35" s="3936"/>
      <c r="J35" s="3727"/>
      <c r="K35" s="3936"/>
      <c r="L35" s="3727"/>
      <c r="M35" s="3936"/>
      <c r="N35" s="3727"/>
      <c r="O35" s="3936"/>
      <c r="P35" s="3727"/>
      <c r="Q35" s="3936"/>
      <c r="R35" s="3727"/>
      <c r="S35" s="3936"/>
      <c r="T35" s="3727"/>
      <c r="U35" s="3936"/>
      <c r="V35" s="3727"/>
      <c r="W35" s="3936"/>
      <c r="X35" s="3727"/>
      <c r="Y35" s="3936"/>
      <c r="Z35" s="3727"/>
      <c r="AA35" s="3935"/>
      <c r="AL35" s="3432">
        <v>11</v>
      </c>
    </row>
    <row customHeight="1" ht="71.25">
      <c r="B36" s="3432" t="s">
        <v>978</v>
      </c>
      <c r="D36" s="1023">
        <v>3</v>
      </c>
      <c r="E36" s="1024" t="s">
        <v>979</v>
      </c>
      <c r="F36" s="3477" t="s">
        <v>321</v>
      </c>
      <c r="G36" s="210" t="s">
        <v>980</v>
      </c>
      <c r="H36" s="3436" t="s">
        <v>321</v>
      </c>
      <c r="I36" s="210" t="s">
        <v>980</v>
      </c>
      <c r="J36" s="3436" t="s">
        <v>321</v>
      </c>
      <c r="K36" s="210" t="s">
        <v>980</v>
      </c>
      <c r="L36" s="3436" t="s">
        <v>321</v>
      </c>
      <c r="M36" s="210" t="s">
        <v>980</v>
      </c>
      <c r="N36" s="3436" t="s">
        <v>321</v>
      </c>
      <c r="O36" s="210" t="s">
        <v>980</v>
      </c>
      <c r="P36" s="3436" t="s">
        <v>321</v>
      </c>
      <c r="Q36" s="210" t="s">
        <v>980</v>
      </c>
      <c r="R36" s="3436" t="s">
        <v>321</v>
      </c>
      <c r="S36" s="210" t="s">
        <v>980</v>
      </c>
      <c r="T36" s="3436" t="s">
        <v>321</v>
      </c>
      <c r="U36" s="210" t="s">
        <v>980</v>
      </c>
      <c r="V36" s="3436" t="s">
        <v>321</v>
      </c>
      <c r="W36" s="210" t="s">
        <v>980</v>
      </c>
      <c r="X36" s="3436" t="s">
        <v>321</v>
      </c>
      <c r="Y36" s="210" t="s">
        <v>980</v>
      </c>
      <c r="Z36" s="3436" t="s">
        <v>321</v>
      </c>
      <c r="AA36" s="3764" t="s">
        <v>981</v>
      </c>
      <c r="AL36" s="3432">
        <v>68</v>
      </c>
    </row>
    <row customHeight="1" ht="11.549999999999999">
      <c r="D37" s="3726"/>
      <c r="E37" s="167" t="s">
        <v>982</v>
      </c>
      <c r="F37" s="3727"/>
      <c r="G37" s="3936"/>
      <c r="H37" s="3936"/>
      <c r="I37" s="3936"/>
      <c r="J37" s="3936"/>
      <c r="K37" s="3936"/>
      <c r="L37" s="3936"/>
      <c r="M37" s="3936"/>
      <c r="N37" s="3936"/>
      <c r="O37" s="3936"/>
      <c r="P37" s="3936"/>
      <c r="Q37" s="3936"/>
      <c r="R37" s="3936"/>
      <c r="S37" s="3936"/>
      <c r="T37" s="3936"/>
      <c r="U37" s="3936"/>
      <c r="V37" s="3936"/>
      <c r="W37" s="3936"/>
      <c r="X37" s="3936"/>
      <c r="Y37" s="3936"/>
      <c r="Z37" s="3936"/>
      <c r="AA37" s="3935"/>
      <c r="AL37" s="3432">
        <v>11</v>
      </c>
    </row>
    <row customHeight="1" ht="71.25">
      <c r="B38" s="3432" t="s">
        <v>983</v>
      </c>
      <c r="D38" s="1023">
        <v>4</v>
      </c>
      <c r="E38" s="1024" t="s">
        <v>984</v>
      </c>
      <c r="F38" s="3477" t="s">
        <v>321</v>
      </c>
      <c r="G38" s="210" t="s">
        <v>980</v>
      </c>
      <c r="H38" s="3480" t="s">
        <v>321</v>
      </c>
      <c r="I38" s="210" t="s">
        <v>980</v>
      </c>
      <c r="J38" s="3480" t="s">
        <v>321</v>
      </c>
      <c r="K38" s="210" t="s">
        <v>980</v>
      </c>
      <c r="L38" s="3480" t="s">
        <v>321</v>
      </c>
      <c r="M38" s="210" t="s">
        <v>980</v>
      </c>
      <c r="N38" s="3480" t="s">
        <v>321</v>
      </c>
      <c r="O38" s="210" t="s">
        <v>980</v>
      </c>
      <c r="P38" s="3480" t="s">
        <v>321</v>
      </c>
      <c r="Q38" s="210" t="s">
        <v>980</v>
      </c>
      <c r="R38" s="3480" t="s">
        <v>321</v>
      </c>
      <c r="S38" s="210" t="s">
        <v>980</v>
      </c>
      <c r="T38" s="3480" t="s">
        <v>321</v>
      </c>
      <c r="U38" s="210" t="s">
        <v>980</v>
      </c>
      <c r="V38" s="3480" t="s">
        <v>321</v>
      </c>
      <c r="W38" s="210" t="s">
        <v>980</v>
      </c>
      <c r="X38" s="3480" t="s">
        <v>321</v>
      </c>
      <c r="Y38" s="210" t="s">
        <v>980</v>
      </c>
      <c r="Z38" s="3480" t="s">
        <v>321</v>
      </c>
      <c r="AA38" s="3931" t="s">
        <v>985</v>
      </c>
      <c r="AL38" s="3432">
        <v>68</v>
      </c>
    </row>
    <row customHeight="1" ht="11.549999999999999">
      <c r="D39" s="3726"/>
      <c r="E39" s="167" t="s">
        <v>986</v>
      </c>
      <c r="F39" s="3727"/>
      <c r="G39" s="3727"/>
      <c r="H39" s="3937"/>
      <c r="I39" s="3727"/>
      <c r="J39" s="3937"/>
      <c r="K39" s="3727"/>
      <c r="L39" s="3937"/>
      <c r="M39" s="3727"/>
      <c r="N39" s="3937"/>
      <c r="O39" s="3727"/>
      <c r="P39" s="3937"/>
      <c r="Q39" s="3727"/>
      <c r="R39" s="3937"/>
      <c r="S39" s="3727"/>
      <c r="T39" s="3937"/>
      <c r="U39" s="3727"/>
      <c r="V39" s="3937"/>
      <c r="W39" s="3727"/>
      <c r="X39" s="3937"/>
      <c r="Y39" s="3727"/>
      <c r="Z39" s="3937"/>
      <c r="AA39" s="3935"/>
      <c r="AL39" s="3432">
        <v>11</v>
      </c>
    </row>
    <row customHeight="1" ht="22.5" hidden="1">
      <c r="A40" s="3430" t="s">
        <v>80</v>
      </c>
      <c r="B40" s="3432">
        <v>0</v>
      </c>
      <c r="C40" s="3693">
        <v>4</v>
      </c>
      <c r="D40" s="3432">
        <v>6</v>
      </c>
      <c r="E40" s="3432">
        <v>36</v>
      </c>
      <c r="F40" s="3432">
        <v>9</v>
      </c>
      <c r="G40" s="3432">
        <v>0</v>
      </c>
      <c r="H40" s="3432">
        <v>0</v>
      </c>
      <c r="I40" s="3432">
        <v>25</v>
      </c>
      <c r="J40" s="3432">
        <v>33</v>
      </c>
      <c r="K40" s="3432">
        <v>0</v>
      </c>
      <c r="L40" s="3432">
        <v>0</v>
      </c>
      <c r="M40" s="3432">
        <v>0</v>
      </c>
      <c r="N40" s="3432">
        <v>0</v>
      </c>
      <c r="O40" s="3432">
        <v>0</v>
      </c>
      <c r="P40" s="3432">
        <v>0</v>
      </c>
      <c r="Q40" s="3432">
        <v>0</v>
      </c>
      <c r="R40" s="3432">
        <v>0</v>
      </c>
      <c r="S40" s="3432">
        <v>0</v>
      </c>
      <c r="T40" s="3432">
        <v>0</v>
      </c>
      <c r="U40" s="3432">
        <v>0</v>
      </c>
      <c r="V40" s="3432">
        <v>0</v>
      </c>
      <c r="W40" s="3432">
        <v>0</v>
      </c>
      <c r="X40" s="3432">
        <v>0</v>
      </c>
      <c r="Y40" s="3432">
        <v>0</v>
      </c>
      <c r="Z40" s="3432">
        <v>0</v>
      </c>
      <c r="AA40" s="3449">
        <v>93</v>
      </c>
      <c r="AB40" s="3432">
        <v>10</v>
      </c>
      <c r="AC40" s="3432">
        <v>10</v>
      </c>
      <c r="AD40" s="3432">
        <v>10</v>
      </c>
      <c r="AE40" s="3432">
        <v>10</v>
      </c>
      <c r="AF40" s="3432">
        <v>10</v>
      </c>
      <c r="AG40" s="3432">
        <v>10</v>
      </c>
      <c r="AH40" s="3432">
        <v>10</v>
      </c>
      <c r="AI40" s="3432">
        <v>10</v>
      </c>
      <c r="AJ40" s="3432">
        <v>10</v>
      </c>
      <c r="AK40" s="3932">
        <v>10</v>
      </c>
      <c r="AL40" s="3432">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39C63-5659-FF7A-9A51-6216ECA1D6C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4" style="7348" width="6.7109375" hidden="1" customWidth="1"/>
    <col min="5" max="5" style="7348" width="3.00390625" customWidth="1"/>
    <col min="6" max="6" style="7348" width="6.00390625" customWidth="1"/>
    <col min="7" max="7" style="7348" width="37.00390625" customWidth="1"/>
    <col min="8" max="8" style="7348" width="16.00390625" customWidth="1"/>
    <col min="9" max="10" style="7348" width="19.00390625" customWidth="1"/>
    <col min="11" max="11" style="7348" width="24.00390625" customWidth="1"/>
    <col min="12" max="13" style="7348" width="25.00390625" customWidth="1"/>
    <col min="14" max="16" style="7348" width="17.00390625" customWidth="1"/>
    <col min="17" max="24" style="7348" width="19.00390625" customWidth="1"/>
    <col min="25" max="25" style="7348" width="7.00390625" customWidth="1"/>
    <col min="26" max="26" style="7348" width="3.00390625" customWidth="1"/>
    <col min="27" max="27" style="7348" width="6.00390625" customWidth="1"/>
    <col min="28" max="28" style="7348" width="34.00390625" customWidth="1"/>
    <col min="29" max="30" style="7348" width="8.00390625" customWidth="1"/>
    <col min="31" max="31" style="7348" width="9.140625" hidden="1"/>
  </cols>
  <sheetData>
    <row customHeight="1" ht="10.5" hidden="1">
      <c r="AE1" s="3449" t="s">
        <v>14</v>
      </c>
    </row>
    <row customHeight="1" ht="10.5" hidden="1">
      <c r="AE2" s="3432">
        <v>0</v>
      </c>
    </row>
    <row customHeight="1" ht="10.5" hidden="1">
      <c r="G3" s="3430" t="s">
        <v>987</v>
      </c>
      <c r="AE3" s="3430">
        <v>0</v>
      </c>
    </row>
    <row customHeight="1" ht="3">
      <c r="AE4" s="3432">
        <v>3</v>
      </c>
    </row>
    <row customHeight="1" ht="27.299999999999997">
      <c r="F5" s="3646" t="str">
        <f>IP_NAME_FORM</f>
        <v>Форма 7. Информация об инвестиционных программах организации горячего водоснабжения и отчетах об их исполнении</v>
      </c>
      <c r="G5" s="3646"/>
      <c r="H5" s="3646"/>
      <c r="I5" s="3646"/>
      <c r="J5" s="3646"/>
      <c r="K5" s="3646"/>
      <c r="AE5" s="3432">
        <v>26</v>
      </c>
    </row>
    <row customHeight="1" ht="16.8">
      <c r="F6" s="3554" t="str">
        <f>IF(org=0,"Не определено",org)</f>
        <v>ООО "ТеплоЭлектроГенерирующая Компания"</v>
      </c>
      <c r="G6" s="3554"/>
      <c r="H6" s="3554"/>
      <c r="I6" s="3554"/>
      <c r="J6" s="3554"/>
      <c r="K6" s="3554"/>
      <c r="AE6" s="3432">
        <v>16</v>
      </c>
    </row>
    <row customHeight="1" ht="10.5">
      <c r="AE7" s="3432">
        <v>10</v>
      </c>
    </row>
    <row customHeight="1" ht="10.5">
      <c r="F8" s="3437" t="s">
        <v>315</v>
      </c>
      <c r="G8" s="3477"/>
      <c r="H8" s="3477"/>
      <c r="I8" s="3477"/>
      <c r="J8" s="3477"/>
      <c r="K8" s="3477"/>
      <c r="L8" s="3477"/>
      <c r="M8" s="3477"/>
      <c r="N8" s="3477"/>
      <c r="O8" s="3477"/>
      <c r="P8" s="3477"/>
      <c r="Q8" s="3477"/>
      <c r="R8" s="3477"/>
      <c r="S8" s="3477"/>
      <c r="T8" s="3477"/>
      <c r="U8" s="3477"/>
      <c r="V8" s="3477"/>
      <c r="W8" s="3477"/>
      <c r="X8" s="3477"/>
      <c r="Y8" s="3477"/>
      <c r="Z8" s="3477"/>
      <c r="AA8" s="3477"/>
      <c r="AB8" s="3436"/>
      <c r="AE8" s="3432">
        <v>10</v>
      </c>
    </row>
    <row customHeight="1" ht="43.050000000000004">
      <c r="F9" s="3480" t="s">
        <v>86</v>
      </c>
      <c r="G9" s="3480" t="s">
        <v>987</v>
      </c>
      <c r="H9" s="3558" t="s">
        <v>988</v>
      </c>
      <c r="I9" s="3480" t="s">
        <v>989</v>
      </c>
      <c r="J9" s="3480" t="s">
        <v>990</v>
      </c>
      <c r="K9" s="3480" t="s">
        <v>991</v>
      </c>
      <c r="L9" s="3480" t="s">
        <v>992</v>
      </c>
      <c r="M9" s="3480" t="s">
        <v>993</v>
      </c>
      <c r="N9" s="3579" t="s">
        <v>994</v>
      </c>
      <c r="O9" s="3579"/>
      <c r="P9" s="3579"/>
      <c r="Q9" s="3847" t="s">
        <v>995</v>
      </c>
      <c r="R9" s="3848"/>
      <c r="S9" s="3848"/>
      <c r="T9" s="3849"/>
      <c r="U9" s="3847" t="s">
        <v>996</v>
      </c>
      <c r="V9" s="3848"/>
      <c r="W9" s="3848"/>
      <c r="X9" s="3849"/>
      <c r="Y9" s="3437" t="s">
        <v>997</v>
      </c>
      <c r="Z9" s="3477"/>
      <c r="AA9" s="3477"/>
      <c r="AB9" s="3436"/>
      <c r="AE9" s="3432">
        <v>41</v>
      </c>
    </row>
    <row customHeight="1" ht="43.050000000000004">
      <c r="F10" s="3558"/>
      <c r="G10" s="3558"/>
      <c r="H10" s="3483"/>
      <c r="I10" s="3558"/>
      <c r="J10" s="3558"/>
      <c r="K10" s="3558"/>
      <c r="L10" s="3558"/>
      <c r="M10" s="3558"/>
      <c r="N10" s="3995" t="s">
        <v>998</v>
      </c>
      <c r="O10" s="3995" t="s">
        <v>999</v>
      </c>
      <c r="P10" s="3807" t="s">
        <v>1000</v>
      </c>
      <c r="Q10" s="3995" t="s">
        <v>87</v>
      </c>
      <c r="R10" s="3995" t="s">
        <v>1001</v>
      </c>
      <c r="S10" s="3995" t="s">
        <v>1002</v>
      </c>
      <c r="T10" s="3900" t="s">
        <v>1003</v>
      </c>
      <c r="U10" s="3995" t="s">
        <v>87</v>
      </c>
      <c r="V10" s="3995" t="s">
        <v>1004</v>
      </c>
      <c r="W10" s="3995" t="s">
        <v>1002</v>
      </c>
      <c r="X10" s="3900" t="s">
        <v>1003</v>
      </c>
      <c r="Y10" s="3793" t="s">
        <v>1005</v>
      </c>
      <c r="Z10" s="3437" t="s">
        <v>86</v>
      </c>
      <c r="AA10" s="3436"/>
      <c r="AB10" s="3480" t="s">
        <v>1006</v>
      </c>
      <c r="AE10" s="3432">
        <v>41</v>
      </c>
    </row>
    <row customHeight="1" ht="5.25" hidden="1">
      <c r="F11" s="742" t="s">
        <v>391</v>
      </c>
      <c r="G11" s="3791"/>
      <c r="H11" s="395"/>
      <c r="I11" s="395"/>
      <c r="J11" s="395"/>
      <c r="K11" s="421"/>
      <c r="L11" s="421"/>
      <c r="M11" s="421"/>
      <c r="N11" s="395"/>
      <c r="O11" s="395"/>
      <c r="P11" s="3480"/>
      <c r="Q11" s="3563"/>
      <c r="R11" s="3563"/>
      <c r="S11" s="3563"/>
      <c r="T11" s="395"/>
      <c r="U11" s="3563"/>
      <c r="V11" s="3563"/>
      <c r="W11" s="3563"/>
      <c r="X11" s="395"/>
      <c r="Y11" s="204"/>
      <c r="Z11" s="204"/>
      <c r="AA11" s="204"/>
      <c r="AB11" s="204"/>
      <c r="AD11" s="3473" t="s">
        <v>1007</v>
      </c>
      <c r="AE11" s="3473">
        <v>0</v>
      </c>
    </row>
    <row customHeight="1" ht="5.25" hidden="1">
      <c r="F12" s="742"/>
      <c r="G12" s="3791"/>
      <c r="H12" s="395"/>
      <c r="I12" s="395"/>
      <c r="J12" s="395"/>
      <c r="K12" s="421"/>
      <c r="L12" s="421"/>
      <c r="M12" s="421"/>
      <c r="N12" s="395"/>
      <c r="O12" s="395"/>
      <c r="P12" s="3480"/>
      <c r="Q12" s="3563"/>
      <c r="R12" s="3563"/>
      <c r="S12" s="3563"/>
      <c r="T12" s="395"/>
      <c r="U12" s="3563"/>
      <c r="V12" s="3563"/>
      <c r="W12" s="3563"/>
      <c r="X12" s="395"/>
      <c r="Y12" s="1157"/>
      <c r="Z12" s="1157"/>
      <c r="AA12" s="1157"/>
      <c r="AB12" s="1157"/>
      <c r="AE12" s="3473">
        <v>0</v>
      </c>
    </row>
    <row customHeight="1" ht="10.5">
      <c r="F13" s="945"/>
      <c r="G13" s="167" t="s">
        <v>1008</v>
      </c>
      <c r="H13" s="167"/>
      <c r="I13" s="3727"/>
      <c r="J13" s="3727"/>
      <c r="K13" s="3727"/>
      <c r="L13" s="3727"/>
      <c r="M13" s="3727"/>
      <c r="N13" s="3727"/>
      <c r="O13" s="3727"/>
      <c r="P13" s="3727"/>
      <c r="Q13" s="3727"/>
      <c r="R13" s="3727"/>
      <c r="S13" s="3727"/>
      <c r="T13" s="3727"/>
      <c r="U13" s="3727"/>
      <c r="V13" s="3727"/>
      <c r="W13" s="3727"/>
      <c r="X13" s="3727"/>
      <c r="Y13" s="3727"/>
      <c r="Z13" s="3937"/>
      <c r="AA13" s="3937"/>
      <c r="AB13" s="3996"/>
      <c r="AE13" s="3432">
        <v>10</v>
      </c>
    </row>
    <row customHeight="1" ht="10.5">
      <c r="AE14" s="3432">
        <v>10</v>
      </c>
    </row>
    <row customHeight="1" ht="10.5">
      <c r="H15" s="3473">
        <f>_xlfn.IFERROR(MATCH("нет",IP_MAIN_DIFFERENTIATION_EVENTS_FLAG,0),0)</f>
        <v>0</v>
      </c>
      <c r="AE15" s="3473">
        <v>10</v>
      </c>
    </row>
    <row customHeight="1" ht="10.5" hidden="1">
      <c r="A16" s="132" t="s">
        <v>80</v>
      </c>
      <c r="B16" s="132">
        <v>0</v>
      </c>
      <c r="C16" s="132">
        <v>0</v>
      </c>
      <c r="D16" s="3449">
        <v>0</v>
      </c>
      <c r="E16" s="3432">
        <v>3</v>
      </c>
      <c r="F16" s="3432">
        <v>6</v>
      </c>
      <c r="G16" s="3432">
        <v>37</v>
      </c>
      <c r="H16" s="3432">
        <v>16</v>
      </c>
      <c r="I16" s="3432">
        <v>19</v>
      </c>
      <c r="J16" s="3432">
        <v>19</v>
      </c>
      <c r="K16" s="3432">
        <v>24</v>
      </c>
      <c r="L16" s="3432">
        <v>25</v>
      </c>
      <c r="M16" s="3432">
        <v>25</v>
      </c>
      <c r="N16" s="3432">
        <v>17</v>
      </c>
      <c r="O16" s="3432">
        <v>17</v>
      </c>
      <c r="P16" s="3432">
        <v>17</v>
      </c>
      <c r="Q16" s="3432">
        <v>19</v>
      </c>
      <c r="R16" s="3432">
        <v>19</v>
      </c>
      <c r="S16" s="3432">
        <v>19</v>
      </c>
      <c r="T16" s="3432">
        <v>19</v>
      </c>
      <c r="U16" s="3432">
        <v>19</v>
      </c>
      <c r="V16" s="3432">
        <v>19</v>
      </c>
      <c r="W16" s="3432">
        <v>19</v>
      </c>
      <c r="X16" s="3432">
        <v>19</v>
      </c>
      <c r="Y16" s="3432">
        <v>7</v>
      </c>
      <c r="Z16" s="3432">
        <v>3</v>
      </c>
      <c r="AA16" s="3432">
        <v>6</v>
      </c>
      <c r="AB16" s="3432">
        <v>34</v>
      </c>
      <c r="AC16" s="3432">
        <v>8</v>
      </c>
      <c r="AD16" s="3432">
        <v>8</v>
      </c>
      <c r="AE16" s="343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3EC15-29DC-2424-68A6-DC40C84D121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4" style="7348" width="4.140625" hidden="1" customWidth="1"/>
    <col min="5" max="5" style="7348" width="3.00390625" customWidth="1"/>
    <col min="6" max="6" style="7348" width="14.00390625" customWidth="1"/>
    <col min="7" max="7" style="7348" width="3.00390625" customWidth="1"/>
    <col min="8" max="8" style="7348" width="7.00390625" customWidth="1"/>
    <col min="9" max="10" style="7348" width="16.00390625" customWidth="1"/>
    <col min="11" max="11" style="7348" width="25.00390625" customWidth="1"/>
    <col min="12" max="12" style="7348" width="7.00390625" customWidth="1"/>
    <col min="13" max="13" style="7348" width="15.00390625" customWidth="1"/>
    <col min="14" max="14" style="7348" width="3.00390625" customWidth="1"/>
    <col min="15" max="15" style="7348" width="4.00390625" customWidth="1"/>
    <col min="16" max="16" style="7348" width="8.00390625" customWidth="1"/>
    <col min="17" max="17" style="7348" width="21.00390625" customWidth="1"/>
    <col min="18" max="18" style="7348" width="14.00390625" customWidth="1"/>
    <col min="19" max="20" style="7348" width="17.00390625" customWidth="1"/>
    <col min="21" max="21" style="7348" width="9.00390625" customWidth="1"/>
    <col min="22" max="22" style="7348" width="12.00390625" customWidth="1"/>
    <col min="23" max="23" style="7348" width="9.00390625" customWidth="1"/>
    <col min="24" max="24" style="7348" width="21.00390625" customWidth="1"/>
    <col min="25" max="25" style="7348" width="12.00390625" customWidth="1"/>
    <col min="26" max="26" style="7348" width="3.00390625" customWidth="1"/>
    <col min="27" max="27" style="7348" width="6.00390625" customWidth="1"/>
    <col min="28" max="28" style="7348" width="38.00390625" customWidth="1"/>
    <col min="29" max="29" style="7348" width="15.00390625" customWidth="1"/>
    <col min="30" max="30" style="7348" width="37.57421875" customWidth="1"/>
    <col min="31" max="31" style="7348" width="15.7109375" customWidth="1"/>
    <col min="32" max="34" style="7348" width="16.00390625" customWidth="1"/>
    <col min="35" max="37" style="7348" width="16.7109375" customWidth="1"/>
    <col min="38" max="58" style="7348" width="8.00390625" customWidth="1"/>
    <col min="59" max="59" style="7348" width="9.140625" hidden="1"/>
  </cols>
  <sheetData>
    <row customHeight="1" ht="10.5" hidden="1">
      <c r="BG1" s="3449" t="s">
        <v>14</v>
      </c>
    </row>
    <row customHeight="1" ht="10.5" hidden="1">
      <c r="BG2" s="3432">
        <v>0</v>
      </c>
    </row>
    <row customHeight="1" ht="10.5" hidden="1">
      <c r="BG3" s="3430">
        <v>0</v>
      </c>
    </row>
    <row customHeight="1" ht="3">
      <c r="BG4" s="3432">
        <v>3</v>
      </c>
    </row>
    <row customHeight="1" ht="27.299999999999997">
      <c r="F5" s="3646" t="str">
        <f>IP_NAME_FORM</f>
        <v>Форма 7. Информация об инвестиционных программах организации горячего водоснабжения и отчетах об их исполнении</v>
      </c>
      <c r="G5" s="3646"/>
      <c r="H5" s="3646"/>
      <c r="I5" s="3646"/>
      <c r="J5" s="3646"/>
      <c r="K5" s="3646"/>
      <c r="BG5" s="3432">
        <v>26</v>
      </c>
    </row>
    <row customHeight="1" ht="10.5">
      <c r="F6" s="3554" t="str">
        <f>IF(org=0,"Не определено",org)</f>
        <v>ООО "ТеплоЭлектроГенерирующая Компания"</v>
      </c>
      <c r="G6" s="3554"/>
      <c r="H6" s="3554"/>
      <c r="I6" s="3554"/>
      <c r="J6" s="3554"/>
      <c r="K6" s="3554"/>
      <c r="BG6" s="3432">
        <v>10</v>
      </c>
    </row>
    <row customHeight="1" ht="11.549999999999999">
      <c r="E7" s="3450"/>
      <c r="F7" s="3997"/>
      <c r="G7" s="3997"/>
      <c r="H7" s="3997"/>
      <c r="I7" s="3997"/>
      <c r="J7" s="3997"/>
      <c r="K7" s="1160"/>
      <c r="L7" s="1160"/>
      <c r="M7" s="1160"/>
      <c r="N7" s="3997"/>
      <c r="O7" s="3997"/>
      <c r="P7" s="3997"/>
      <c r="Q7" s="1160"/>
      <c r="R7" s="3997"/>
      <c r="S7" s="3997"/>
      <c r="T7" s="3997"/>
      <c r="U7" s="3997"/>
      <c r="V7" s="3997"/>
      <c r="W7" s="3997"/>
      <c r="X7" s="3997"/>
      <c r="Y7" s="3997"/>
      <c r="Z7" s="3997"/>
      <c r="AA7" s="3997"/>
      <c r="AB7" s="3997"/>
      <c r="AC7" s="3998"/>
      <c r="AD7" s="3998"/>
      <c r="AE7" s="3998"/>
      <c r="AF7" s="3997"/>
      <c r="AG7" s="3997"/>
      <c r="AH7" s="3997"/>
      <c r="AI7" s="3997"/>
      <c r="AJ7" s="3997"/>
      <c r="AK7" s="3997"/>
      <c r="BG7" s="3432">
        <v>11</v>
      </c>
    </row>
    <row customHeight="1" ht="10.5">
      <c r="E8" s="3450"/>
      <c r="F8" s="3999" t="s">
        <v>315</v>
      </c>
      <c r="G8" s="4000"/>
      <c r="H8" s="4000"/>
      <c r="I8" s="4000"/>
      <c r="J8" s="4000"/>
      <c r="K8" s="4000"/>
      <c r="L8" s="4000"/>
      <c r="M8" s="4000"/>
      <c r="N8" s="4000"/>
      <c r="O8" s="4000"/>
      <c r="P8" s="4000"/>
      <c r="Q8" s="4000"/>
      <c r="R8" s="4000"/>
      <c r="S8" s="4000"/>
      <c r="T8" s="4000"/>
      <c r="U8" s="4000"/>
      <c r="V8" s="4000"/>
      <c r="W8" s="4000"/>
      <c r="X8" s="4000"/>
      <c r="Y8" s="4000"/>
      <c r="Z8" s="4000"/>
      <c r="AA8" s="4000"/>
      <c r="AB8" s="4000"/>
      <c r="AC8" s="4000"/>
      <c r="AD8" s="4000"/>
      <c r="AE8" s="4000"/>
      <c r="AF8" s="4000"/>
      <c r="AG8" s="4000"/>
      <c r="AH8" s="4000"/>
      <c r="AI8" s="4000"/>
      <c r="AJ8" s="4000"/>
      <c r="AK8" s="4001"/>
      <c r="AL8" s="4002"/>
      <c r="BG8" s="3432">
        <v>10</v>
      </c>
    </row>
    <row customHeight="1" ht="24">
      <c r="E9" s="3450"/>
      <c r="F9" s="3579" t="s">
        <v>1009</v>
      </c>
      <c r="G9" s="3899" t="s">
        <v>1010</v>
      </c>
      <c r="H9" s="3994"/>
      <c r="I9" s="3480" t="s">
        <v>1011</v>
      </c>
      <c r="J9" s="3480"/>
      <c r="K9" s="3480" t="s">
        <v>1012</v>
      </c>
      <c r="L9" s="3480"/>
      <c r="M9" s="3480"/>
      <c r="N9" s="3480"/>
      <c r="O9" s="3480"/>
      <c r="P9" s="3480"/>
      <c r="Q9" s="3480"/>
      <c r="R9" s="3480"/>
      <c r="S9" s="3480"/>
      <c r="T9" s="3480"/>
      <c r="U9" s="3480"/>
      <c r="V9" s="3480"/>
      <c r="W9" s="3480"/>
      <c r="X9" s="3480"/>
      <c r="Y9" s="3480"/>
      <c r="Z9" s="3555" t="s">
        <v>1013</v>
      </c>
      <c r="AA9" s="3556"/>
      <c r="AB9" s="3480" t="s">
        <v>1014</v>
      </c>
      <c r="AC9" s="3480"/>
      <c r="AD9" s="3480"/>
      <c r="AE9" s="3480"/>
      <c r="AF9" s="3558" t="s">
        <v>1015</v>
      </c>
      <c r="AG9" s="3480" t="s">
        <v>1016</v>
      </c>
      <c r="AH9" s="3480"/>
      <c r="AI9" s="3558" t="s">
        <v>1017</v>
      </c>
      <c r="AJ9" s="3480" t="s">
        <v>1018</v>
      </c>
      <c r="AK9" s="3480"/>
      <c r="BG9" s="3432">
        <v>23</v>
      </c>
    </row>
    <row customHeight="1" ht="25.2">
      <c r="E10" s="3450"/>
      <c r="F10" s="3579"/>
      <c r="G10" s="3902"/>
      <c r="H10" s="3588"/>
      <c r="I10" s="3480"/>
      <c r="J10" s="3480"/>
      <c r="K10" s="3480" t="s">
        <v>1019</v>
      </c>
      <c r="L10" s="3437" t="s">
        <v>1020</v>
      </c>
      <c r="M10" s="3436"/>
      <c r="N10" s="3480" t="s">
        <v>1021</v>
      </c>
      <c r="O10" s="3480"/>
      <c r="P10" s="3480"/>
      <c r="Q10" s="3480"/>
      <c r="R10" s="3480"/>
      <c r="S10" s="3480"/>
      <c r="T10" s="3480"/>
      <c r="U10" s="3480"/>
      <c r="V10" s="3480"/>
      <c r="W10" s="3480"/>
      <c r="X10" s="3480"/>
      <c r="Y10" s="3480"/>
      <c r="Z10" s="3559"/>
      <c r="AA10" s="3560"/>
      <c r="AB10" s="3480"/>
      <c r="AC10" s="3480"/>
      <c r="AD10" s="3480"/>
      <c r="AE10" s="3480"/>
      <c r="AF10" s="3557"/>
      <c r="AG10" s="3480"/>
      <c r="AH10" s="3480"/>
      <c r="AI10" s="3557"/>
      <c r="AJ10" s="3480"/>
      <c r="AK10" s="3480"/>
      <c r="BG10" s="3432">
        <v>24</v>
      </c>
    </row>
    <row customHeight="1" ht="25.2">
      <c r="E11" s="3450"/>
      <c r="F11" s="3579"/>
      <c r="G11" s="3902"/>
      <c r="H11" s="3588"/>
      <c r="I11" s="3480"/>
      <c r="J11" s="3480"/>
      <c r="K11" s="3480"/>
      <c r="L11" s="3558" t="s">
        <v>1022</v>
      </c>
      <c r="M11" s="3558" t="s">
        <v>1023</v>
      </c>
      <c r="N11" s="3480" t="s">
        <v>1024</v>
      </c>
      <c r="O11" s="3480"/>
      <c r="P11" s="3525" t="s">
        <v>1005</v>
      </c>
      <c r="Q11" s="3525" t="s">
        <v>1025</v>
      </c>
      <c r="R11" s="3525" t="s">
        <v>1026</v>
      </c>
      <c r="S11" s="3525" t="s">
        <v>1027</v>
      </c>
      <c r="T11" s="3525"/>
      <c r="U11" s="3525"/>
      <c r="V11" s="3525"/>
      <c r="W11" s="3525"/>
      <c r="X11" s="3525"/>
      <c r="Y11" s="3525"/>
      <c r="Z11" s="3559"/>
      <c r="AA11" s="3560"/>
      <c r="AB11" s="3480" t="s">
        <v>1028</v>
      </c>
      <c r="AC11" s="3480"/>
      <c r="AD11" s="3437" t="s">
        <v>1029</v>
      </c>
      <c r="AE11" s="3436"/>
      <c r="AF11" s="3557"/>
      <c r="AG11" s="3480"/>
      <c r="AH11" s="3480"/>
      <c r="AI11" s="3557"/>
      <c r="AJ11" s="3480"/>
      <c r="AK11" s="3480"/>
      <c r="BG11" s="3432">
        <v>24</v>
      </c>
    </row>
    <row customHeight="1" ht="35.699999999999996">
      <c r="E12" s="3450"/>
      <c r="F12" s="3579"/>
      <c r="G12" s="3908"/>
      <c r="H12" s="3918"/>
      <c r="I12" s="3480" t="s">
        <v>87</v>
      </c>
      <c r="J12" s="3480" t="s">
        <v>1030</v>
      </c>
      <c r="K12" s="3480"/>
      <c r="L12" s="3483"/>
      <c r="M12" s="3483"/>
      <c r="N12" s="3480"/>
      <c r="O12" s="3480"/>
      <c r="P12" s="3525"/>
      <c r="Q12" s="3525"/>
      <c r="R12" s="3525"/>
      <c r="S12" s="3525" t="s">
        <v>84</v>
      </c>
      <c r="T12" s="3525" t="s">
        <v>85</v>
      </c>
      <c r="U12" s="3525" t="s">
        <v>83</v>
      </c>
      <c r="V12" s="3525" t="s">
        <v>1031</v>
      </c>
      <c r="W12" s="3525" t="s">
        <v>83</v>
      </c>
      <c r="X12" s="3525" t="s">
        <v>1032</v>
      </c>
      <c r="Y12" s="3525" t="s">
        <v>1033</v>
      </c>
      <c r="Z12" s="3561"/>
      <c r="AA12" s="3562"/>
      <c r="AB12" s="3480" t="s">
        <v>1034</v>
      </c>
      <c r="AC12" s="3480" t="s">
        <v>1035</v>
      </c>
      <c r="AD12" s="3480" t="s">
        <v>1034</v>
      </c>
      <c r="AE12" s="3480" t="s">
        <v>1035</v>
      </c>
      <c r="AF12" s="3483"/>
      <c r="AG12" s="3480" t="s">
        <v>1036</v>
      </c>
      <c r="AH12" s="3480" t="s">
        <v>1037</v>
      </c>
      <c r="AI12" s="3483"/>
      <c r="AJ12" s="3480" t="s">
        <v>1036</v>
      </c>
      <c r="AK12" s="3480" t="s">
        <v>1037</v>
      </c>
      <c r="BG12" s="3432">
        <v>34</v>
      </c>
    </row>
    <row customHeight="1" ht="1.05">
      <c r="E13" s="3450"/>
      <c r="F13" s="3450">
        <v>0</v>
      </c>
      <c r="G13" s="3450"/>
      <c r="H13" s="3450"/>
      <c r="I13" s="3450"/>
      <c r="J13" s="3450"/>
      <c r="AL13" s="4002"/>
      <c r="BG13" s="3432">
        <v>1</v>
      </c>
    </row>
    <row customHeight="1" ht="10.5">
      <c r="BG14" s="3432">
        <v>10</v>
      </c>
    </row>
    <row customHeight="1" ht="13.5">
      <c r="F15" s="3510" t="s">
        <v>1038</v>
      </c>
      <c r="BG15" s="3432">
        <v>13</v>
      </c>
    </row>
    <row customHeight="1" ht="10.5">
      <c r="BG16" s="3432">
        <v>10</v>
      </c>
    </row>
    <row customHeight="1" ht="10.5">
      <c r="BG17" s="3432">
        <v>10</v>
      </c>
    </row>
    <row customHeight="1" ht="10.5">
      <c r="BG18" s="3432">
        <v>10</v>
      </c>
    </row>
    <row customHeight="1" ht="10.5">
      <c r="BG19" s="3432">
        <v>10</v>
      </c>
    </row>
    <row customHeight="1" ht="10.5" hidden="1">
      <c r="A20" s="132" t="s">
        <v>80</v>
      </c>
      <c r="B20" s="132">
        <v>0</v>
      </c>
      <c r="C20" s="132">
        <v>0</v>
      </c>
      <c r="D20" s="3449">
        <v>0</v>
      </c>
      <c r="E20" s="3432">
        <v>3</v>
      </c>
      <c r="F20" s="3432">
        <v>14</v>
      </c>
      <c r="G20" s="3432">
        <v>3</v>
      </c>
      <c r="H20" s="3432">
        <v>7</v>
      </c>
      <c r="I20" s="3432">
        <v>16</v>
      </c>
      <c r="J20" s="3432">
        <v>16</v>
      </c>
      <c r="K20" s="3432">
        <v>25</v>
      </c>
      <c r="L20" s="3432">
        <v>7</v>
      </c>
      <c r="M20" s="3432">
        <v>15</v>
      </c>
      <c r="N20" s="3432">
        <v>3</v>
      </c>
      <c r="O20" s="3432">
        <v>4</v>
      </c>
      <c r="P20" s="3432">
        <v>8</v>
      </c>
      <c r="Q20" s="3432">
        <v>21</v>
      </c>
      <c r="R20" s="3432">
        <v>14</v>
      </c>
      <c r="S20" s="3432">
        <v>17</v>
      </c>
      <c r="T20" s="3432">
        <v>17</v>
      </c>
      <c r="U20" s="3432">
        <v>9</v>
      </c>
      <c r="V20" s="3432">
        <v>12</v>
      </c>
      <c r="W20" s="3432">
        <v>9</v>
      </c>
      <c r="X20" s="3432">
        <v>21</v>
      </c>
      <c r="Y20" s="3432">
        <v>12</v>
      </c>
      <c r="Z20" s="3432">
        <v>3</v>
      </c>
      <c r="AA20" s="3432">
        <v>6</v>
      </c>
      <c r="AB20" s="3432">
        <v>38</v>
      </c>
      <c r="AC20" s="3432">
        <v>15</v>
      </c>
      <c r="AD20" s="3432">
        <v>0</v>
      </c>
      <c r="AE20" s="3432">
        <v>0</v>
      </c>
      <c r="AF20" s="3432">
        <v>16</v>
      </c>
      <c r="AG20" s="3432">
        <v>16</v>
      </c>
      <c r="AH20" s="3432">
        <v>16</v>
      </c>
      <c r="AI20" s="3432">
        <v>0</v>
      </c>
      <c r="AJ20" s="3432">
        <v>0</v>
      </c>
      <c r="AK20" s="3432">
        <v>0</v>
      </c>
      <c r="AL20" s="3432">
        <v>8</v>
      </c>
      <c r="AM20" s="3432">
        <v>8</v>
      </c>
      <c r="AN20" s="3432">
        <v>8</v>
      </c>
      <c r="AO20" s="3432">
        <v>8</v>
      </c>
      <c r="AP20" s="3432">
        <v>8</v>
      </c>
      <c r="AQ20" s="3432">
        <v>8</v>
      </c>
      <c r="AR20" s="3432">
        <v>8</v>
      </c>
      <c r="AS20" s="3432">
        <v>8</v>
      </c>
      <c r="AT20" s="3432">
        <v>8</v>
      </c>
      <c r="AU20" s="3432">
        <v>8</v>
      </c>
      <c r="AV20" s="3432">
        <v>8</v>
      </c>
      <c r="AW20" s="3432">
        <v>8</v>
      </c>
      <c r="AX20" s="3432">
        <v>8</v>
      </c>
      <c r="AY20" s="3432">
        <v>8</v>
      </c>
      <c r="AZ20" s="3432">
        <v>8</v>
      </c>
      <c r="BA20" s="3432">
        <v>8</v>
      </c>
      <c r="BB20" s="3432">
        <v>8</v>
      </c>
      <c r="BC20" s="3432">
        <v>8</v>
      </c>
      <c r="BD20" s="3432">
        <v>8</v>
      </c>
      <c r="BE20" s="3432">
        <v>8</v>
      </c>
      <c r="BF20" s="3432">
        <v>8</v>
      </c>
      <c r="BG20" s="343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10C7C-2B21-01F4-8742-71902DAB32A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4" style="7348" width="4.140625" hidden="1" customWidth="1"/>
    <col min="5" max="5" style="7348" width="3.00390625" customWidth="1"/>
    <col min="6" max="6" style="7348" width="6.00390625" customWidth="1"/>
    <col min="7" max="7" style="7348" width="60.00390625" customWidth="1"/>
    <col min="8" max="9" style="7348" width="21.7109375" hidden="1" customWidth="1"/>
    <col min="10" max="10" style="7348" width="0.140625" customWidth="1"/>
    <col min="11" max="11" style="7348" width="1.00390625" customWidth="1"/>
    <col min="12" max="22" style="7348" width="8.00390625" customWidth="1"/>
    <col min="23" max="23" style="7348" width="9.140625" hidden="1"/>
  </cols>
  <sheetData>
    <row customHeight="1" ht="10.5" hidden="1">
      <c r="W1" s="3449" t="s">
        <v>14</v>
      </c>
    </row>
    <row customHeight="1" ht="10.5" hidden="1">
      <c r="W2" s="3432">
        <v>0</v>
      </c>
    </row>
    <row customHeight="1" ht="10.5" hidden="1">
      <c r="W3" s="3430">
        <v>0</v>
      </c>
    </row>
    <row customHeight="1" ht="3">
      <c r="W4" s="3432">
        <v>3</v>
      </c>
    </row>
    <row customHeight="1" ht="27.299999999999997">
      <c r="F5" s="364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3646"/>
      <c r="H5" s="3646"/>
      <c r="I5" s="3646"/>
      <c r="J5" s="3646"/>
      <c r="W5" s="3432">
        <v>26</v>
      </c>
    </row>
    <row customHeight="1" ht="10.5">
      <c r="F6" s="3554" t="str">
        <f>IF(org=0,"Не определено",org)</f>
        <v>ООО "ТеплоЭлектроГенерирующая Компания"</v>
      </c>
      <c r="G6" s="3554"/>
      <c r="H6" s="3554"/>
      <c r="I6" s="3554"/>
      <c r="J6" s="3554"/>
      <c r="W6" s="3432">
        <v>10</v>
      </c>
    </row>
    <row customHeight="1" ht="11.549999999999999">
      <c r="E7" s="3450"/>
      <c r="F7" s="4003"/>
      <c r="G7" s="4003"/>
      <c r="H7" s="4003"/>
      <c r="I7" s="4003"/>
      <c r="J7" s="4003"/>
      <c r="W7" s="3432">
        <v>11</v>
      </c>
    </row>
    <row customHeight="1" ht="4.2">
      <c r="F8" s="4004"/>
      <c r="G8" s="4004"/>
      <c r="H8" s="4004"/>
      <c r="I8" s="4004"/>
      <c r="J8" s="4004"/>
      <c r="W8" s="3473">
        <v>4</v>
      </c>
    </row>
    <row customHeight="1" ht="10.5">
      <c r="E9" s="3450"/>
      <c r="F9" s="4005" t="s">
        <v>315</v>
      </c>
      <c r="G9" s="4006"/>
      <c r="H9" s="4006"/>
      <c r="I9" s="4006"/>
      <c r="J9" s="4006"/>
      <c r="K9" s="4007"/>
      <c r="W9" s="3432">
        <v>10</v>
      </c>
    </row>
    <row customHeight="1" ht="25.2">
      <c r="F10" s="1171" t="s">
        <v>86</v>
      </c>
      <c r="G10" s="240" t="s">
        <v>1039</v>
      </c>
      <c r="H10" s="395" t="s">
        <v>1040</v>
      </c>
      <c r="I10" s="395"/>
      <c r="J10" s="395"/>
      <c r="K10" s="1172"/>
      <c r="W10" s="3432">
        <v>24</v>
      </c>
    </row>
    <row customHeight="1" ht="25.5">
      <c r="F11" s="1173"/>
      <c r="G11" s="240"/>
      <c r="H11" s="3799">
        <f>INDEX(IP_MAIN_LIST_NAME_IP,MATCH(H8,IP_MAIN_LIST_IP_ID,0))&amp;" ("&amp;INDEX(IP_MAIN_START_DATE,MATCH(H8,IP_MAIN_LIST_IP_ID,0))&amp;"-"&amp;INDEX(IP_MAIN_END_DATE,MATCH(H8,IP_MAIN_LIST_IP_ID,0))&amp;")"</f>
      </c>
      <c r="I11" s="3799"/>
      <c r="J11" s="3799"/>
      <c r="K11" s="1172"/>
      <c r="W11" s="3432">
        <v>24</v>
      </c>
    </row>
    <row customHeight="1" ht="10.5">
      <c r="F12" s="1174"/>
      <c r="G12" s="240"/>
      <c r="H12" s="240" t="s">
        <v>1041</v>
      </c>
      <c r="I12" s="1175"/>
      <c r="J12" s="240"/>
      <c r="K12" s="3737"/>
      <c r="W12" s="3432">
        <v>10</v>
      </c>
    </row>
    <row customHeight="1" ht="10.5" hidden="1">
      <c r="F13" s="240">
        <v>1</v>
      </c>
      <c r="G13" s="240">
        <v>2</v>
      </c>
      <c r="H13" s="240">
        <v>3</v>
      </c>
      <c r="I13" s="240">
        <v>4</v>
      </c>
      <c r="J13" s="240">
        <v>5</v>
      </c>
      <c r="K13" s="3737"/>
      <c r="W13" s="3432">
        <v>0</v>
      </c>
    </row>
    <row customHeight="1" ht="11.549999999999999">
      <c r="F14" s="395" t="s">
        <v>1042</v>
      </c>
      <c r="G14" s="1024" t="s">
        <v>1043</v>
      </c>
      <c r="H14" s="1024"/>
      <c r="I14" s="1024"/>
      <c r="J14" s="1024"/>
      <c r="K14" s="3737"/>
      <c r="W14" s="3432">
        <v>11</v>
      </c>
    </row>
    <row customHeight="1" ht="11.549999999999999">
      <c r="F15" s="240">
        <v>1</v>
      </c>
      <c r="G15" s="347" t="s">
        <v>1044</v>
      </c>
      <c r="H15" s="714">
        <f>SUM(I15:J15)</f>
        <v>0</v>
      </c>
      <c r="I15" s="714">
        <f>SUM(I16:I27)</f>
        <v>0</v>
      </c>
      <c r="J15" s="395"/>
      <c r="K15" s="3737"/>
      <c r="W15" s="3432">
        <v>11</v>
      </c>
    </row>
    <row customHeight="1" ht="24">
      <c r="F16" s="240" t="s">
        <v>1045</v>
      </c>
      <c r="G16" s="1112" t="s">
        <v>1046</v>
      </c>
      <c r="H16" s="714">
        <f>SUM(I16:J16)</f>
        <v>0</v>
      </c>
      <c r="I16" s="1176"/>
      <c r="J16" s="395"/>
      <c r="K16" s="3737"/>
      <c r="W16" s="3432">
        <v>23</v>
      </c>
    </row>
    <row customHeight="1" ht="24">
      <c r="F17" s="240" t="s">
        <v>1047</v>
      </c>
      <c r="G17" s="1112" t="s">
        <v>1048</v>
      </c>
      <c r="H17" s="714">
        <f>SUM(I17:J17)</f>
        <v>0</v>
      </c>
      <c r="I17" s="1176"/>
      <c r="J17" s="395"/>
      <c r="K17" s="3737"/>
      <c r="W17" s="3432">
        <v>23</v>
      </c>
    </row>
    <row customHeight="1" ht="35.699999999999996">
      <c r="F18" s="240" t="s">
        <v>1049</v>
      </c>
      <c r="G18" s="1112" t="s">
        <v>1050</v>
      </c>
      <c r="H18" s="714">
        <f>SUM(I18:J18)</f>
        <v>0</v>
      </c>
      <c r="I18" s="1176"/>
      <c r="J18" s="395"/>
      <c r="K18" s="3737"/>
      <c r="W18" s="3432">
        <v>34</v>
      </c>
    </row>
    <row customHeight="1" ht="35.699999999999996">
      <c r="F19" s="240" t="s">
        <v>1051</v>
      </c>
      <c r="G19" s="1112" t="s">
        <v>1052</v>
      </c>
      <c r="H19" s="714">
        <f>SUM(I19:J19)</f>
        <v>0</v>
      </c>
      <c r="I19" s="1176"/>
      <c r="J19" s="395"/>
      <c r="K19" s="3737"/>
      <c r="W19" s="3432">
        <v>34</v>
      </c>
    </row>
    <row customHeight="1" ht="48.29999999999999">
      <c r="F20" s="240" t="s">
        <v>1053</v>
      </c>
      <c r="G20" s="1112" t="s">
        <v>1054</v>
      </c>
      <c r="H20" s="714">
        <f>SUM(I20:J20)</f>
        <v>0</v>
      </c>
      <c r="I20" s="1176"/>
      <c r="J20" s="395"/>
      <c r="K20" s="3737"/>
      <c r="W20" s="3432">
        <v>46</v>
      </c>
    </row>
    <row customHeight="1" ht="35.699999999999996">
      <c r="F21" s="240" t="s">
        <v>1055</v>
      </c>
      <c r="G21" s="1112" t="s">
        <v>1056</v>
      </c>
      <c r="H21" s="714">
        <f>SUM(I21:J21)</f>
        <v>0</v>
      </c>
      <c r="I21" s="1176"/>
      <c r="J21" s="395"/>
      <c r="K21" s="3737"/>
      <c r="W21" s="3432">
        <v>34</v>
      </c>
    </row>
    <row customHeight="1" ht="35.699999999999996">
      <c r="F22" s="240" t="s">
        <v>1057</v>
      </c>
      <c r="G22" s="1112" t="s">
        <v>1058</v>
      </c>
      <c r="H22" s="714">
        <f>SUM(I22:J22)</f>
        <v>0</v>
      </c>
      <c r="I22" s="1176"/>
      <c r="J22" s="395"/>
      <c r="K22" s="3737"/>
      <c r="W22" s="3432">
        <v>34</v>
      </c>
    </row>
    <row customHeight="1" ht="24">
      <c r="F23" s="240" t="s">
        <v>1059</v>
      </c>
      <c r="G23" s="1112" t="s">
        <v>1060</v>
      </c>
      <c r="H23" s="714">
        <f>SUM(I23:J23)</f>
        <v>0</v>
      </c>
      <c r="I23" s="1176"/>
      <c r="J23" s="395"/>
      <c r="K23" s="3737"/>
      <c r="W23" s="3432">
        <v>23</v>
      </c>
    </row>
    <row customHeight="1" ht="24">
      <c r="F24" s="240" t="s">
        <v>1061</v>
      </c>
      <c r="G24" s="1112" t="s">
        <v>1062</v>
      </c>
      <c r="H24" s="714">
        <f>SUM(I24:J24)</f>
        <v>0</v>
      </c>
      <c r="I24" s="1176"/>
      <c r="J24" s="395"/>
      <c r="K24" s="3737"/>
      <c r="W24" s="3432">
        <v>23</v>
      </c>
    </row>
    <row customHeight="1" ht="35.699999999999996">
      <c r="F25" s="240" t="s">
        <v>1063</v>
      </c>
      <c r="G25" s="1112" t="s">
        <v>1064</v>
      </c>
      <c r="H25" s="714">
        <f>SUM(I25:J25)</f>
        <v>0</v>
      </c>
      <c r="I25" s="1176"/>
      <c r="J25" s="395"/>
      <c r="K25" s="3737"/>
      <c r="W25" s="3432">
        <v>34</v>
      </c>
    </row>
    <row customHeight="1" ht="35.699999999999996">
      <c r="F26" s="240" t="s">
        <v>1065</v>
      </c>
      <c r="G26" s="1112" t="s">
        <v>1066</v>
      </c>
      <c r="H26" s="714">
        <f>SUM(I26:J26)</f>
        <v>0</v>
      </c>
      <c r="I26" s="1176"/>
      <c r="J26" s="395"/>
      <c r="K26" s="3737"/>
      <c r="W26" s="3432">
        <v>34</v>
      </c>
    </row>
    <row customHeight="1" ht="11.549999999999999">
      <c r="F27" s="240" t="s">
        <v>1067</v>
      </c>
      <c r="G27" s="1112" t="s">
        <v>1068</v>
      </c>
      <c r="H27" s="714">
        <f>SUM(I27:J27)</f>
        <v>0</v>
      </c>
      <c r="I27" s="1176"/>
      <c r="J27" s="395"/>
      <c r="K27" s="3737"/>
      <c r="W27" s="3432">
        <v>11</v>
      </c>
    </row>
    <row customHeight="1" ht="11.549999999999999">
      <c r="F28" s="240">
        <v>2</v>
      </c>
      <c r="G28" s="347" t="s">
        <v>1069</v>
      </c>
      <c r="H28" s="714">
        <f>SUM(I28:J28)</f>
        <v>0</v>
      </c>
      <c r="I28" s="714">
        <f>SUM(I29:I31)</f>
        <v>0</v>
      </c>
      <c r="J28" s="395"/>
      <c r="K28" s="3737"/>
      <c r="W28" s="3432">
        <v>11</v>
      </c>
    </row>
    <row customHeight="1" ht="11.549999999999999">
      <c r="F29" s="240" t="s">
        <v>732</v>
      </c>
      <c r="G29" s="1112" t="s">
        <v>1070</v>
      </c>
      <c r="H29" s="714">
        <f>SUM(I29:J29)</f>
        <v>0</v>
      </c>
      <c r="I29" s="1176"/>
      <c r="J29" s="395"/>
      <c r="K29" s="3737"/>
      <c r="W29" s="3432">
        <v>11</v>
      </c>
    </row>
    <row customHeight="1" ht="11.549999999999999">
      <c r="F30" s="240" t="s">
        <v>322</v>
      </c>
      <c r="G30" s="1112" t="s">
        <v>1071</v>
      </c>
      <c r="H30" s="714">
        <f>SUM(I30:J30)</f>
        <v>0</v>
      </c>
      <c r="I30" s="1176"/>
      <c r="J30" s="395"/>
      <c r="K30" s="3737"/>
      <c r="W30" s="3432">
        <v>11</v>
      </c>
    </row>
    <row customHeight="1" ht="11.549999999999999">
      <c r="F31" s="240" t="s">
        <v>325</v>
      </c>
      <c r="G31" s="1112" t="s">
        <v>1072</v>
      </c>
      <c r="H31" s="714">
        <f>SUM(I31:J31)</f>
        <v>0</v>
      </c>
      <c r="I31" s="1176"/>
      <c r="J31" s="395"/>
      <c r="K31" s="3737"/>
      <c r="W31" s="3432">
        <v>11</v>
      </c>
    </row>
    <row customHeight="1" ht="11.549999999999999">
      <c r="F32" s="240">
        <v>3</v>
      </c>
      <c r="G32" s="347" t="s">
        <v>1073</v>
      </c>
      <c r="H32" s="714">
        <f>SUM(I32:J32)</f>
        <v>0</v>
      </c>
      <c r="I32" s="714">
        <f>SUM(I33:I34)</f>
        <v>0</v>
      </c>
      <c r="J32" s="395"/>
      <c r="K32" s="3737"/>
      <c r="W32" s="3432">
        <v>11</v>
      </c>
    </row>
    <row customHeight="1" ht="48.29999999999999">
      <c r="F33" s="240" t="s">
        <v>339</v>
      </c>
      <c r="G33" s="1112" t="s">
        <v>1074</v>
      </c>
      <c r="H33" s="714">
        <f>SUM(I33:J33)</f>
        <v>0</v>
      </c>
      <c r="I33" s="1176"/>
      <c r="J33" s="395"/>
      <c r="K33" s="3737"/>
      <c r="W33" s="3432">
        <v>46</v>
      </c>
    </row>
    <row customHeight="1" ht="11.549999999999999">
      <c r="F34" s="240" t="s">
        <v>347</v>
      </c>
      <c r="G34" s="1112" t="s">
        <v>1075</v>
      </c>
      <c r="H34" s="714">
        <f>SUM(I34:J34)</f>
        <v>0</v>
      </c>
      <c r="I34" s="1176"/>
      <c r="J34" s="395"/>
      <c r="K34" s="3737"/>
      <c r="W34" s="3432">
        <v>11</v>
      </c>
    </row>
    <row customHeight="1" ht="11.549999999999999">
      <c r="F35" s="240">
        <v>4</v>
      </c>
      <c r="G35" s="347" t="s">
        <v>1076</v>
      </c>
      <c r="H35" s="714">
        <f>SUM(I35:J35)</f>
        <v>0</v>
      </c>
      <c r="I35" s="1176"/>
      <c r="J35" s="395"/>
      <c r="K35" s="3737"/>
      <c r="W35" s="3432">
        <v>11</v>
      </c>
    </row>
    <row customHeight="1" ht="11.549999999999999">
      <c r="F36" s="240"/>
      <c r="G36" s="1024" t="s">
        <v>1077</v>
      </c>
      <c r="H36" s="714">
        <f>SUM(I36:J36)</f>
        <v>0</v>
      </c>
      <c r="I36" s="714">
        <f>SUM(I15,I28,I32,I35)</f>
        <v>0</v>
      </c>
      <c r="J36" s="395"/>
      <c r="K36" s="3737"/>
      <c r="W36" s="3432">
        <v>11</v>
      </c>
    </row>
    <row customHeight="1" ht="29.25">
      <c r="F37" s="395" t="s">
        <v>1078</v>
      </c>
      <c r="G37" s="332" t="s">
        <v>1079</v>
      </c>
      <c r="H37" s="332"/>
      <c r="I37" s="332"/>
      <c r="J37" s="332"/>
      <c r="K37" s="3737"/>
      <c r="W37" s="3432">
        <v>28</v>
      </c>
    </row>
    <row customHeight="1" ht="24">
      <c r="F38" s="240" t="s">
        <v>107</v>
      </c>
      <c r="G38" s="347" t="s">
        <v>1080</v>
      </c>
      <c r="H38" s="714">
        <f>SUM(I38:J38)</f>
        <v>0</v>
      </c>
      <c r="I38" s="714">
        <f>SUM(I39,I44,I47)</f>
        <v>0</v>
      </c>
      <c r="J38" s="395"/>
      <c r="K38" s="3737"/>
      <c r="W38" s="3432">
        <v>23</v>
      </c>
    </row>
    <row customHeight="1" ht="11.549999999999999">
      <c r="F39" s="240" t="s">
        <v>1045</v>
      </c>
      <c r="G39" s="1112" t="s">
        <v>1044</v>
      </c>
      <c r="H39" s="714">
        <f>SUM(I39:J39)</f>
        <v>0</v>
      </c>
      <c r="I39" s="714">
        <f>SUM(I40:I43)</f>
        <v>0</v>
      </c>
      <c r="J39" s="395"/>
      <c r="K39" s="3737"/>
      <c r="W39" s="3432">
        <v>11</v>
      </c>
    </row>
    <row customHeight="1" ht="24">
      <c r="F40" s="240" t="s">
        <v>1081</v>
      </c>
      <c r="G40" s="1177" t="s">
        <v>1082</v>
      </c>
      <c r="H40" s="714">
        <f>SUM(I40:J40)</f>
        <v>0</v>
      </c>
      <c r="I40" s="1176"/>
      <c r="J40" s="395"/>
      <c r="K40" s="3737"/>
      <c r="W40" s="3432">
        <v>23</v>
      </c>
    </row>
    <row customHeight="1" ht="11.549999999999999">
      <c r="F41" s="240" t="s">
        <v>1083</v>
      </c>
      <c r="G41" s="1177" t="s">
        <v>1084</v>
      </c>
      <c r="H41" s="714">
        <f>SUM(I41:J41)</f>
        <v>0</v>
      </c>
      <c r="I41" s="1176"/>
      <c r="J41" s="395"/>
      <c r="K41" s="3737"/>
      <c r="W41" s="3432">
        <v>11</v>
      </c>
    </row>
    <row customHeight="1" ht="11.549999999999999">
      <c r="F42" s="240" t="s">
        <v>1085</v>
      </c>
      <c r="G42" s="1177" t="s">
        <v>1086</v>
      </c>
      <c r="H42" s="714">
        <f>SUM(I42:J42)</f>
        <v>0</v>
      </c>
      <c r="I42" s="1176"/>
      <c r="J42" s="395"/>
      <c r="K42" s="3737"/>
      <c r="W42" s="3432">
        <v>11</v>
      </c>
    </row>
    <row customHeight="1" ht="35.699999999999996">
      <c r="F43" s="240" t="s">
        <v>1087</v>
      </c>
      <c r="G43" s="1177" t="s">
        <v>1088</v>
      </c>
      <c r="H43" s="714">
        <f>SUM(I43:J43)</f>
        <v>0</v>
      </c>
      <c r="I43" s="1176"/>
      <c r="J43" s="395"/>
      <c r="K43" s="3737"/>
      <c r="W43" s="3432">
        <v>34</v>
      </c>
    </row>
    <row customHeight="1" ht="11.549999999999999">
      <c r="F44" s="240" t="s">
        <v>1047</v>
      </c>
      <c r="G44" s="1112" t="s">
        <v>1073</v>
      </c>
      <c r="H44" s="714">
        <f>SUM(I44:J44)</f>
        <v>0</v>
      </c>
      <c r="I44" s="714">
        <f>SUM(I45:I46)</f>
        <v>0</v>
      </c>
      <c r="J44" s="395"/>
      <c r="K44" s="3737"/>
      <c r="W44" s="3432">
        <v>11</v>
      </c>
    </row>
    <row customHeight="1" ht="48.29999999999999">
      <c r="F45" s="240" t="s">
        <v>1089</v>
      </c>
      <c r="G45" s="1177" t="s">
        <v>1074</v>
      </c>
      <c r="H45" s="714">
        <f>SUM(I45:J45)</f>
        <v>0</v>
      </c>
      <c r="I45" s="1176"/>
      <c r="J45" s="395"/>
      <c r="K45" s="3737"/>
      <c r="W45" s="3432">
        <v>46</v>
      </c>
    </row>
    <row customHeight="1" ht="11.549999999999999">
      <c r="F46" s="240" t="s">
        <v>1090</v>
      </c>
      <c r="G46" s="1177" t="s">
        <v>1075</v>
      </c>
      <c r="H46" s="714">
        <f>SUM(I46:J46)</f>
        <v>0</v>
      </c>
      <c r="I46" s="1176"/>
      <c r="J46" s="395"/>
      <c r="K46" s="3737"/>
      <c r="W46" s="3432">
        <v>11</v>
      </c>
    </row>
    <row customHeight="1" ht="11.549999999999999">
      <c r="F47" s="240" t="s">
        <v>1049</v>
      </c>
      <c r="G47" s="1112" t="s">
        <v>1091</v>
      </c>
      <c r="H47" s="714">
        <f>SUM(I47:J47)</f>
        <v>0</v>
      </c>
      <c r="I47" s="1176"/>
      <c r="J47" s="395"/>
      <c r="K47" s="3737"/>
      <c r="W47" s="3432">
        <v>11</v>
      </c>
    </row>
    <row customHeight="1" ht="24">
      <c r="F48" s="240" t="s">
        <v>108</v>
      </c>
      <c r="G48" s="347" t="s">
        <v>1092</v>
      </c>
      <c r="H48" s="714">
        <f>SUM(I48:J48)</f>
        <v>0</v>
      </c>
      <c r="I48" s="714">
        <f>SUM(I49,I54,I57)</f>
        <v>0</v>
      </c>
      <c r="J48" s="395"/>
      <c r="K48" s="3737"/>
      <c r="W48" s="3432">
        <v>23</v>
      </c>
    </row>
    <row customHeight="1" ht="11.549999999999999">
      <c r="F49" s="240" t="s">
        <v>732</v>
      </c>
      <c r="G49" s="1112" t="s">
        <v>1044</v>
      </c>
      <c r="H49" s="714">
        <f>SUM(I49:J49)</f>
        <v>0</v>
      </c>
      <c r="I49" s="714">
        <f>SUM(I50:I53)</f>
        <v>0</v>
      </c>
      <c r="J49" s="395"/>
      <c r="K49" s="3737"/>
      <c r="W49" s="3432">
        <v>11</v>
      </c>
    </row>
    <row customHeight="1" ht="24">
      <c r="F50" s="240" t="s">
        <v>735</v>
      </c>
      <c r="G50" s="1177" t="s">
        <v>1082</v>
      </c>
      <c r="H50" s="714">
        <f>SUM(I50:J50)</f>
        <v>0</v>
      </c>
      <c r="I50" s="1176"/>
      <c r="J50" s="395"/>
      <c r="K50" s="3737"/>
      <c r="W50" s="3432">
        <v>23</v>
      </c>
    </row>
    <row customHeight="1" ht="11.549999999999999">
      <c r="F51" s="240" t="s">
        <v>738</v>
      </c>
      <c r="G51" s="1177" t="s">
        <v>1084</v>
      </c>
      <c r="H51" s="714">
        <f>SUM(I51:J51)</f>
        <v>0</v>
      </c>
      <c r="I51" s="1176"/>
      <c r="J51" s="395"/>
      <c r="K51" s="3737"/>
      <c r="W51" s="3432">
        <v>11</v>
      </c>
    </row>
    <row customHeight="1" ht="11.549999999999999">
      <c r="F52" s="240" t="s">
        <v>1093</v>
      </c>
      <c r="G52" s="1177" t="s">
        <v>1086</v>
      </c>
      <c r="H52" s="714">
        <f>SUM(I52:J52)</f>
        <v>0</v>
      </c>
      <c r="I52" s="1176"/>
      <c r="J52" s="395"/>
      <c r="K52" s="3737"/>
      <c r="W52" s="3432">
        <v>11</v>
      </c>
    </row>
    <row customHeight="1" ht="35.699999999999996">
      <c r="F53" s="240" t="s">
        <v>1094</v>
      </c>
      <c r="G53" s="1177" t="s">
        <v>1088</v>
      </c>
      <c r="H53" s="714">
        <f>SUM(I53:J53)</f>
        <v>0</v>
      </c>
      <c r="I53" s="1176"/>
      <c r="J53" s="395"/>
      <c r="K53" s="3737"/>
      <c r="W53" s="3432">
        <v>34</v>
      </c>
    </row>
    <row customHeight="1" ht="11.549999999999999">
      <c r="F54" s="240" t="s">
        <v>322</v>
      </c>
      <c r="G54" s="1112" t="s">
        <v>1073</v>
      </c>
      <c r="H54" s="714">
        <f>SUM(I54:J54)</f>
        <v>0</v>
      </c>
      <c r="I54" s="714">
        <f>SUM(I55:I56)</f>
        <v>0</v>
      </c>
      <c r="J54" s="395"/>
      <c r="K54" s="3737"/>
      <c r="W54" s="3432">
        <v>11</v>
      </c>
    </row>
    <row customHeight="1" ht="48.29999999999999">
      <c r="F55" s="240" t="s">
        <v>742</v>
      </c>
      <c r="G55" s="1177" t="s">
        <v>1074</v>
      </c>
      <c r="H55" s="714">
        <f>SUM(I55:J55)</f>
        <v>0</v>
      </c>
      <c r="I55" s="1176"/>
      <c r="J55" s="395"/>
      <c r="K55" s="3737"/>
      <c r="W55" s="3432">
        <v>46</v>
      </c>
    </row>
    <row customHeight="1" ht="11.549999999999999">
      <c r="F56" s="240" t="s">
        <v>744</v>
      </c>
      <c r="G56" s="1177" t="s">
        <v>1075</v>
      </c>
      <c r="H56" s="714">
        <f>SUM(I56:J56)</f>
        <v>0</v>
      </c>
      <c r="I56" s="1176"/>
      <c r="J56" s="395"/>
      <c r="K56" s="3737"/>
      <c r="W56" s="3432">
        <v>11</v>
      </c>
    </row>
    <row customHeight="1" ht="11.549999999999999">
      <c r="F57" s="240" t="s">
        <v>325</v>
      </c>
      <c r="G57" s="1112" t="s">
        <v>1091</v>
      </c>
      <c r="H57" s="714">
        <f>SUM(I57:J57)</f>
        <v>0</v>
      </c>
      <c r="I57" s="1176"/>
      <c r="J57" s="395"/>
      <c r="K57" s="3737"/>
      <c r="W57" s="3432">
        <v>11</v>
      </c>
    </row>
    <row customHeight="1" ht="11.549999999999999">
      <c r="F58" s="240"/>
      <c r="G58" s="332" t="s">
        <v>1077</v>
      </c>
      <c r="H58" s="714">
        <f>SUM(I58:J58)</f>
        <v>0</v>
      </c>
      <c r="I58" s="714">
        <f>SUM(I38,I48)</f>
        <v>0</v>
      </c>
      <c r="J58" s="395"/>
      <c r="K58" s="3737"/>
      <c r="W58" s="3432">
        <v>11</v>
      </c>
    </row>
    <row customHeight="1" ht="10.5" hidden="1">
      <c r="A59" s="132" t="s">
        <v>80</v>
      </c>
      <c r="B59" s="132">
        <v>0</v>
      </c>
      <c r="C59" s="132">
        <v>0</v>
      </c>
      <c r="D59" s="3449">
        <v>0</v>
      </c>
      <c r="E59" s="3432">
        <v>3</v>
      </c>
      <c r="F59" s="3432">
        <v>6</v>
      </c>
      <c r="G59" s="3432">
        <v>60</v>
      </c>
      <c r="H59" s="3432">
        <v>0</v>
      </c>
      <c r="I59" s="3432">
        <v>0</v>
      </c>
      <c r="J59" s="3432">
        <v>0</v>
      </c>
      <c r="K59" s="3432">
        <v>1</v>
      </c>
      <c r="L59" s="3432">
        <v>8</v>
      </c>
      <c r="M59" s="3432">
        <v>8</v>
      </c>
      <c r="N59" s="3432">
        <v>8</v>
      </c>
      <c r="O59" s="3432">
        <v>8</v>
      </c>
      <c r="P59" s="3432">
        <v>8</v>
      </c>
      <c r="Q59" s="3432">
        <v>8</v>
      </c>
      <c r="R59" s="3432">
        <v>8</v>
      </c>
      <c r="S59" s="3432">
        <v>8</v>
      </c>
      <c r="T59" s="3432">
        <v>8</v>
      </c>
      <c r="U59" s="3432">
        <v>8</v>
      </c>
      <c r="V59" s="3432">
        <v>8</v>
      </c>
      <c r="W59" s="343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74B46-8D6F-36E7-91CC-04D92843247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4" style="7348" width="4.7109375" hidden="1" customWidth="1"/>
    <col min="5" max="5" style="7348" width="3.00390625" customWidth="1"/>
    <col min="6" max="6" style="7348" width="6.00390625" customWidth="1"/>
    <col min="7" max="7" style="7348" width="18.00390625" customWidth="1"/>
    <col min="8" max="8" style="7348" width="27.00390625" customWidth="1"/>
    <col min="9" max="9" style="7348" width="18.00390625" customWidth="1"/>
    <col min="10" max="14" style="7348" width="0.8515625" hidden="1" customWidth="1"/>
    <col min="15" max="28" style="7348" width="21.7109375" hidden="1" customWidth="1"/>
    <col min="29" max="71" style="7348" width="0.8515625" hidden="1" customWidth="1"/>
    <col min="72" max="79" style="7348" width="21.7109375" customWidth="1"/>
    <col min="80" max="81" style="7348" width="29.140625" customWidth="1"/>
    <col min="82" max="89" style="7348" width="21.7109375" customWidth="1"/>
    <col min="90" max="102" style="7348" width="0.7109375" customWidth="1"/>
    <col min="103" max="114" style="7348" width="21.7109375" hidden="1" customWidth="1"/>
    <col min="115" max="178" style="7348" width="0.7109375" hidden="1" customWidth="1"/>
    <col min="179" max="179" style="7348" width="0.140625" customWidth="1"/>
    <col min="180" max="184" style="7348" width="8.00390625" customWidth="1"/>
    <col min="185" max="185" style="7348" width="9.140625" hidden="1"/>
  </cols>
  <sheetData>
    <row customHeight="1" ht="12" hidden="1">
      <c r="GC1" s="1178" t="s">
        <v>14</v>
      </c>
    </row>
    <row customHeight="1" ht="12" hidden="1">
      <c r="GC2" s="1178">
        <v>0</v>
      </c>
    </row>
    <row customHeight="1" ht="12" hidden="1">
      <c r="GC3" s="1178">
        <v>0</v>
      </c>
    </row>
    <row customHeight="1" ht="10.5">
      <c r="GC4" s="1179">
        <v>10</v>
      </c>
    </row>
    <row customHeight="1" ht="27.299999999999997">
      <c r="E5" s="1180"/>
      <c r="F5" s="400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3546"/>
      <c r="H5" s="3546"/>
      <c r="I5" s="3546"/>
      <c r="J5" s="3546"/>
      <c r="K5" s="3546"/>
      <c r="L5" s="3546"/>
      <c r="M5" s="3546"/>
      <c r="N5" s="3546"/>
      <c r="O5" s="3546"/>
      <c r="P5" s="3546"/>
      <c r="Q5" s="3546"/>
      <c r="R5" s="3546"/>
      <c r="S5" s="3546"/>
      <c r="T5" s="3546"/>
      <c r="U5" s="3546"/>
      <c r="V5" s="3546"/>
      <c r="W5" s="3546"/>
      <c r="X5" s="3546"/>
      <c r="Y5" s="3546"/>
      <c r="Z5" s="3546"/>
      <c r="AA5" s="3546"/>
      <c r="AB5" s="3546"/>
      <c r="AC5" s="3546"/>
      <c r="AD5" s="3546"/>
      <c r="AE5" s="3546"/>
      <c r="AF5" s="3546"/>
      <c r="AG5" s="3546"/>
      <c r="AH5" s="3546"/>
      <c r="AI5" s="3546"/>
      <c r="AJ5" s="3546"/>
      <c r="AK5" s="3546"/>
      <c r="AL5" s="3546"/>
      <c r="AM5" s="3546"/>
      <c r="AN5" s="3546"/>
      <c r="AO5" s="3546"/>
      <c r="AP5" s="3546"/>
      <c r="AQ5" s="3546"/>
      <c r="AR5" s="3546"/>
      <c r="AS5" s="3546"/>
      <c r="AT5" s="3546"/>
      <c r="AU5" s="3546"/>
      <c r="AV5" s="3546"/>
      <c r="AW5" s="3546"/>
      <c r="AX5" s="3546"/>
      <c r="AY5" s="3546"/>
      <c r="AZ5" s="3546"/>
      <c r="BA5" s="3546"/>
      <c r="BB5" s="3546"/>
      <c r="BC5" s="3546"/>
      <c r="BD5" s="3546"/>
      <c r="BE5" s="3546"/>
      <c r="BF5" s="3546"/>
      <c r="BG5" s="3546"/>
      <c r="BH5" s="3546"/>
      <c r="BI5" s="3546"/>
      <c r="BJ5" s="3546"/>
      <c r="BK5" s="3546"/>
      <c r="BL5" s="3546"/>
      <c r="BM5" s="3546"/>
      <c r="BN5" s="3546"/>
      <c r="BO5" s="3546"/>
      <c r="BP5" s="3546"/>
      <c r="BQ5" s="3546"/>
      <c r="BR5" s="3546"/>
      <c r="BS5" s="3546"/>
      <c r="GC5" s="1182">
        <v>26</v>
      </c>
    </row>
    <row customHeight="1" ht="18.75">
      <c r="E6" s="328"/>
      <c r="F6" s="3622" t="str">
        <f>IF(org=0,"Не определено",org)</f>
        <v>ООО "ТеплоЭлектроГенерирующая Компания"</v>
      </c>
      <c r="G6" s="3623"/>
      <c r="H6" s="3623"/>
      <c r="I6" s="3623"/>
      <c r="J6" s="3623"/>
      <c r="K6" s="3623"/>
      <c r="L6" s="3623"/>
      <c r="M6" s="3623"/>
      <c r="N6" s="3623"/>
      <c r="O6" s="3623"/>
      <c r="P6" s="3623"/>
      <c r="Q6" s="3623"/>
      <c r="R6" s="3623"/>
      <c r="S6" s="3623"/>
      <c r="T6" s="3623"/>
      <c r="U6" s="3623"/>
      <c r="V6" s="3623"/>
      <c r="W6" s="3623"/>
      <c r="X6" s="3623"/>
      <c r="Y6" s="3623"/>
      <c r="Z6" s="3623"/>
      <c r="AA6" s="3623"/>
      <c r="AB6" s="3623"/>
      <c r="AC6" s="3623"/>
      <c r="AD6" s="3623"/>
      <c r="AE6" s="3623"/>
      <c r="AF6" s="3623"/>
      <c r="AG6" s="3623"/>
      <c r="AH6" s="3623"/>
      <c r="AI6" s="3623"/>
      <c r="AJ6" s="3623"/>
      <c r="AK6" s="3623"/>
      <c r="AL6" s="3623"/>
      <c r="AM6" s="3623"/>
      <c r="AN6" s="3623"/>
      <c r="AO6" s="3623"/>
      <c r="AP6" s="3623"/>
      <c r="AQ6" s="3623"/>
      <c r="AR6" s="3623"/>
      <c r="AS6" s="3623"/>
      <c r="AT6" s="3623"/>
      <c r="AU6" s="3623"/>
      <c r="AV6" s="3623"/>
      <c r="AW6" s="3623"/>
      <c r="AX6" s="3623"/>
      <c r="AY6" s="3623"/>
      <c r="AZ6" s="3623"/>
      <c r="BA6" s="3623"/>
      <c r="BB6" s="3623"/>
      <c r="BC6" s="3623"/>
      <c r="BD6" s="3623"/>
      <c r="BE6" s="3623"/>
      <c r="BF6" s="3623"/>
      <c r="BG6" s="3623"/>
      <c r="BH6" s="3623"/>
      <c r="BI6" s="3623"/>
      <c r="BJ6" s="3623"/>
      <c r="BK6" s="3623"/>
      <c r="BL6" s="3623"/>
      <c r="BM6" s="3623"/>
      <c r="BN6" s="3623"/>
      <c r="BO6" s="3623"/>
      <c r="BP6" s="3623"/>
      <c r="BQ6" s="3623"/>
      <c r="BR6" s="3623"/>
      <c r="BS6" s="3623"/>
      <c r="GC6" s="1183">
        <v>18</v>
      </c>
    </row>
    <row customHeight="1" ht="10.5">
      <c r="GC7" s="1184">
        <v>10</v>
      </c>
    </row>
    <row customHeight="1" ht="11.25" hidden="1">
      <c r="O8" s="4009" t="s">
        <v>1095</v>
      </c>
      <c r="P8" s="4010"/>
      <c r="Q8" s="4010"/>
      <c r="R8" s="4010"/>
      <c r="S8" s="4010"/>
      <c r="T8" s="4010"/>
      <c r="U8" s="4010"/>
      <c r="V8" s="4010"/>
      <c r="W8" s="4010"/>
      <c r="X8" s="4010"/>
      <c r="Y8" s="4010"/>
      <c r="Z8" s="4010"/>
      <c r="AA8" s="4010"/>
      <c r="AB8" s="4010"/>
      <c r="AC8" s="4010"/>
      <c r="AD8" s="4010"/>
      <c r="AE8" s="4010"/>
      <c r="AF8" s="4010"/>
      <c r="AG8" s="4010"/>
      <c r="AH8" s="4010"/>
      <c r="AI8" s="4010"/>
      <c r="AJ8" s="4010"/>
      <c r="AK8" s="4010"/>
      <c r="AL8" s="4010"/>
      <c r="AM8" s="4010"/>
      <c r="AN8" s="4010"/>
      <c r="AO8" s="4010"/>
      <c r="AP8" s="4010"/>
      <c r="AQ8" s="4010"/>
      <c r="AR8" s="4010"/>
      <c r="AS8" s="4010"/>
      <c r="AT8" s="4010"/>
      <c r="AU8" s="4010"/>
      <c r="AV8" s="4010"/>
      <c r="AW8" s="4010"/>
      <c r="AX8" s="4010"/>
      <c r="AY8" s="4010"/>
      <c r="AZ8" s="4010"/>
      <c r="BA8" s="4010"/>
      <c r="BB8" s="4010"/>
      <c r="BC8" s="4010"/>
      <c r="BD8" s="4010"/>
      <c r="BE8" s="4010"/>
      <c r="BF8" s="4010"/>
      <c r="BG8" s="4010"/>
      <c r="BH8" s="4010"/>
      <c r="BI8" s="4010"/>
      <c r="BJ8" s="4010"/>
      <c r="BK8" s="4010"/>
      <c r="BL8" s="4010"/>
      <c r="BM8" s="4010"/>
      <c r="BN8" s="4010"/>
      <c r="BO8" s="4010"/>
      <c r="BP8" s="4010"/>
      <c r="BQ8" s="4010"/>
      <c r="BR8" s="4010"/>
      <c r="BS8" s="4011"/>
      <c r="BT8" s="1188"/>
      <c r="BU8" s="1189"/>
      <c r="BV8" s="1189"/>
      <c r="BW8" s="1189"/>
      <c r="BX8" s="1189"/>
      <c r="BY8" s="1189"/>
      <c r="BZ8" s="1189"/>
      <c r="CA8" s="1189"/>
      <c r="CB8" s="1189"/>
      <c r="CC8" s="1189"/>
      <c r="CD8" s="1189"/>
      <c r="CE8" s="1189"/>
      <c r="CF8" s="1189"/>
      <c r="CG8" s="1189"/>
      <c r="CH8" s="1189"/>
      <c r="CI8" s="1189"/>
      <c r="CJ8" s="1189"/>
      <c r="CK8" s="1189"/>
      <c r="CL8" s="1189"/>
      <c r="CM8" s="1189"/>
      <c r="CN8" s="1189"/>
      <c r="CO8" s="1189"/>
      <c r="CP8" s="1189"/>
      <c r="CQ8" s="1189"/>
      <c r="CR8" s="1189"/>
      <c r="CS8" s="1189"/>
      <c r="CT8" s="1189"/>
      <c r="CU8" s="1189"/>
      <c r="CV8" s="1189"/>
      <c r="CW8" s="1189"/>
      <c r="CX8" s="1190"/>
      <c r="CY8" s="1191"/>
      <c r="CZ8" s="1192"/>
      <c r="DA8" s="1192"/>
      <c r="DB8" s="1192"/>
      <c r="DC8" s="1192"/>
      <c r="DD8" s="1192"/>
      <c r="DE8" s="1192"/>
      <c r="DF8" s="1192"/>
      <c r="DG8" s="1192"/>
      <c r="DH8" s="1192"/>
      <c r="DI8" s="1192"/>
      <c r="DJ8" s="1192"/>
      <c r="DK8" s="1192"/>
      <c r="DL8" s="1192"/>
      <c r="DM8" s="1192"/>
      <c r="DN8" s="1192"/>
      <c r="DO8" s="1192"/>
      <c r="DP8" s="1192"/>
      <c r="DQ8" s="1192"/>
      <c r="DR8" s="1192"/>
      <c r="DS8" s="1192"/>
      <c r="DT8" s="1192"/>
      <c r="DU8" s="1192"/>
      <c r="DV8" s="1192"/>
      <c r="DW8" s="1192"/>
      <c r="DX8" s="1193"/>
      <c r="DY8" s="1194" t="s">
        <v>1096</v>
      </c>
      <c r="DZ8" s="1195"/>
      <c r="EA8" s="1195"/>
      <c r="EB8" s="1195"/>
      <c r="EC8" s="1195"/>
      <c r="ED8" s="1195"/>
      <c r="EE8" s="1195"/>
      <c r="EF8" s="1195"/>
      <c r="EG8" s="1195"/>
      <c r="EH8" s="1195"/>
      <c r="EI8" s="1195"/>
      <c r="EJ8" s="1195"/>
      <c r="EK8" s="1195"/>
      <c r="EL8" s="1195"/>
      <c r="EM8" s="1195"/>
      <c r="EN8" s="1195"/>
      <c r="EO8" s="1195"/>
      <c r="EP8" s="1195"/>
      <c r="EQ8" s="1195"/>
      <c r="ER8" s="1195"/>
      <c r="ES8" s="1195"/>
      <c r="ET8" s="1195"/>
      <c r="EU8" s="1195"/>
      <c r="EV8" s="1195"/>
      <c r="EW8" s="1195"/>
      <c r="EX8" s="1195"/>
      <c r="EY8" s="1195"/>
      <c r="EZ8" s="1195"/>
      <c r="FA8" s="1195"/>
      <c r="FB8" s="1195"/>
      <c r="FC8" s="1195"/>
      <c r="FD8" s="1195"/>
      <c r="FE8" s="1195"/>
      <c r="FF8" s="1195"/>
      <c r="FG8" s="1195"/>
      <c r="FH8" s="1195"/>
      <c r="FI8" s="1195"/>
      <c r="FJ8" s="1195"/>
      <c r="FK8" s="1195"/>
      <c r="FL8" s="1195"/>
      <c r="FM8" s="1195"/>
      <c r="FN8" s="1195"/>
      <c r="FO8" s="1195"/>
      <c r="FP8" s="1195"/>
      <c r="FQ8" s="1195"/>
      <c r="FR8" s="1195"/>
      <c r="FS8" s="1195"/>
      <c r="FT8" s="1195"/>
      <c r="FU8" s="1195"/>
      <c r="FV8" s="1195"/>
      <c r="FW8" s="1196"/>
      <c r="GC8" s="1184">
        <v>0</v>
      </c>
    </row>
    <row customHeight="1" ht="11.25" hidden="1">
      <c r="FW9" s="1197"/>
      <c r="GC9" s="1184">
        <v>0</v>
      </c>
    </row>
    <row customHeight="1" ht="11.549999999999999">
      <c r="F10" s="1157" t="s">
        <v>315</v>
      </c>
      <c r="G10" s="1198"/>
      <c r="H10" s="1198"/>
      <c r="I10" s="1198"/>
      <c r="J10" s="1198"/>
      <c r="K10" s="1198"/>
      <c r="L10" s="1198"/>
      <c r="M10" s="1198"/>
      <c r="N10" s="1198"/>
      <c r="O10" s="1198"/>
      <c r="P10" s="1198"/>
      <c r="Q10" s="1198"/>
      <c r="R10" s="1198"/>
      <c r="S10" s="1198"/>
      <c r="T10" s="1198"/>
      <c r="U10" s="1198"/>
      <c r="V10" s="1198"/>
      <c r="W10" s="1198"/>
      <c r="X10" s="1198"/>
      <c r="Y10" s="1198"/>
      <c r="Z10" s="1198"/>
      <c r="AA10" s="1198"/>
      <c r="AB10" s="1198"/>
      <c r="AC10" s="1198"/>
      <c r="AD10" s="1198"/>
      <c r="AE10" s="1198"/>
      <c r="AF10" s="1198"/>
      <c r="AG10" s="1198"/>
      <c r="AH10" s="1198"/>
      <c r="AI10" s="1198"/>
      <c r="AJ10" s="1198"/>
      <c r="AK10" s="1198"/>
      <c r="AL10" s="1198"/>
      <c r="AM10" s="1198"/>
      <c r="AN10" s="1198"/>
      <c r="AO10" s="1198"/>
      <c r="AP10" s="1198"/>
      <c r="AQ10" s="1198"/>
      <c r="AR10" s="1198"/>
      <c r="AS10" s="1198"/>
      <c r="AT10" s="1198"/>
      <c r="AU10" s="1198"/>
      <c r="AV10" s="1198"/>
      <c r="AW10" s="1198"/>
      <c r="AX10" s="1198"/>
      <c r="AY10" s="1198"/>
      <c r="AZ10" s="1198"/>
      <c r="BA10" s="1198"/>
      <c r="BB10" s="1198"/>
      <c r="BC10" s="1198"/>
      <c r="BD10" s="1198"/>
      <c r="BE10" s="1198"/>
      <c r="BF10" s="1198"/>
      <c r="BG10" s="1198"/>
      <c r="BH10" s="1198"/>
      <c r="BI10" s="1198"/>
      <c r="BJ10" s="1198"/>
      <c r="BK10" s="1198"/>
      <c r="BL10" s="1198"/>
      <c r="BM10" s="1198"/>
      <c r="BN10" s="1198"/>
      <c r="BO10" s="1198"/>
      <c r="BP10" s="1198"/>
      <c r="BQ10" s="1198"/>
      <c r="BR10" s="1198"/>
      <c r="BS10" s="1198"/>
      <c r="BT10" s="1198"/>
      <c r="BU10" s="1198"/>
      <c r="BV10" s="1198"/>
      <c r="BW10" s="1198"/>
      <c r="BX10" s="1198"/>
      <c r="BY10" s="1198"/>
      <c r="BZ10" s="1198"/>
      <c r="CA10" s="1198"/>
      <c r="CB10" s="1198"/>
      <c r="CC10" s="1198"/>
      <c r="CD10" s="1198"/>
      <c r="CE10" s="1198"/>
      <c r="CF10" s="1198"/>
      <c r="CG10" s="1198"/>
      <c r="CH10" s="1198"/>
      <c r="CI10" s="1198"/>
      <c r="CJ10" s="1198"/>
      <c r="CK10" s="1198"/>
      <c r="CL10" s="1198"/>
      <c r="CM10" s="1198"/>
      <c r="CN10" s="1198"/>
      <c r="CO10" s="1198"/>
      <c r="CP10" s="1198"/>
      <c r="CQ10" s="1198"/>
      <c r="CR10" s="1198"/>
      <c r="CS10" s="1198"/>
      <c r="CT10" s="1198"/>
      <c r="CU10" s="1198"/>
      <c r="CV10" s="1198"/>
      <c r="CW10" s="1198"/>
      <c r="CX10" s="1198"/>
      <c r="CY10" s="1198"/>
      <c r="CZ10" s="1198"/>
      <c r="DA10" s="1198"/>
      <c r="DB10" s="1198"/>
      <c r="DC10" s="1198"/>
      <c r="DD10" s="1198"/>
      <c r="DE10" s="1198"/>
      <c r="DF10" s="1198"/>
      <c r="DG10" s="1198"/>
      <c r="DH10" s="1198"/>
      <c r="DI10" s="1198"/>
      <c r="DJ10" s="1198"/>
      <c r="DK10" s="1198"/>
      <c r="DL10" s="1198"/>
      <c r="DM10" s="1198"/>
      <c r="DN10" s="1198"/>
      <c r="DO10" s="1198"/>
      <c r="DP10" s="1198"/>
      <c r="DQ10" s="1198"/>
      <c r="DR10" s="1198"/>
      <c r="DS10" s="1198"/>
      <c r="DT10" s="1198"/>
      <c r="DU10" s="1198"/>
      <c r="DV10" s="1198"/>
      <c r="DW10" s="1198"/>
      <c r="DX10" s="1198"/>
      <c r="DY10" s="1198"/>
      <c r="DZ10" s="1198"/>
      <c r="EA10" s="1198"/>
      <c r="EB10" s="1198"/>
      <c r="EC10" s="1198"/>
      <c r="ED10" s="1198"/>
      <c r="EE10" s="1198"/>
      <c r="EF10" s="1198"/>
      <c r="EG10" s="1198"/>
      <c r="EH10" s="1198"/>
      <c r="EI10" s="1198"/>
      <c r="EJ10" s="1198"/>
      <c r="EK10" s="1198"/>
      <c r="EL10" s="1198"/>
      <c r="EM10" s="1198"/>
      <c r="EN10" s="1198"/>
      <c r="EO10" s="1198"/>
      <c r="EP10" s="1198"/>
      <c r="EQ10" s="1198"/>
      <c r="ER10" s="1198"/>
      <c r="ES10" s="1198"/>
      <c r="ET10" s="1198"/>
      <c r="EU10" s="1198"/>
      <c r="EV10" s="1198"/>
      <c r="EW10" s="1198"/>
      <c r="EX10" s="1198"/>
      <c r="EY10" s="1198"/>
      <c r="EZ10" s="1198"/>
      <c r="FA10" s="1198"/>
      <c r="FB10" s="1198"/>
      <c r="FC10" s="1198"/>
      <c r="FD10" s="1198"/>
      <c r="FE10" s="1198"/>
      <c r="FF10" s="1198"/>
      <c r="FG10" s="1198"/>
      <c r="FH10" s="1198"/>
      <c r="FI10" s="1198"/>
      <c r="FJ10" s="1198"/>
      <c r="FK10" s="1198"/>
      <c r="FL10" s="1198"/>
      <c r="FM10" s="1198"/>
      <c r="FN10" s="1198"/>
      <c r="FO10" s="1198"/>
      <c r="FP10" s="1198"/>
      <c r="FQ10" s="1198"/>
      <c r="FR10" s="1198"/>
      <c r="FS10" s="1198"/>
      <c r="FT10" s="1198"/>
      <c r="FU10" s="1198"/>
      <c r="FV10" s="217"/>
      <c r="FW10" s="1197"/>
      <c r="GC10" s="1184">
        <v>11</v>
      </c>
    </row>
    <row customHeight="1" ht="12.75">
      <c r="E11" s="1199"/>
      <c r="F11" s="314" t="s">
        <v>86</v>
      </c>
      <c r="G11" s="314" t="s">
        <v>1097</v>
      </c>
      <c r="H11" s="314" t="s">
        <v>1098</v>
      </c>
      <c r="I11" s="314" t="s">
        <v>1099</v>
      </c>
      <c r="J11" s="1200"/>
      <c r="K11" s="1200"/>
      <c r="L11" s="1200"/>
      <c r="M11" s="1200"/>
      <c r="N11" s="1200"/>
      <c r="O11" s="3579" t="s">
        <v>1100</v>
      </c>
      <c r="P11" s="3579"/>
      <c r="Q11" s="3579"/>
      <c r="R11" s="3579"/>
      <c r="S11" s="3579"/>
      <c r="T11" s="3579"/>
      <c r="U11" s="3579"/>
      <c r="V11" s="3579"/>
      <c r="W11" s="3579"/>
      <c r="X11" s="3579"/>
      <c r="Y11" s="3579"/>
      <c r="Z11" s="3579"/>
      <c r="AA11" s="3579"/>
      <c r="AB11" s="3579"/>
      <c r="AC11" s="4012"/>
      <c r="AD11" s="4012"/>
      <c r="AE11" s="4012"/>
      <c r="AF11" s="4012"/>
      <c r="AG11" s="4012"/>
      <c r="AH11" s="4012"/>
      <c r="AI11" s="4012"/>
      <c r="AJ11" s="4012"/>
      <c r="AK11" s="4012"/>
      <c r="AL11" s="4012"/>
      <c r="AM11" s="4012"/>
      <c r="AN11" s="4012"/>
      <c r="AO11" s="4012"/>
      <c r="AP11" s="4012"/>
      <c r="AQ11" s="4012"/>
      <c r="AR11" s="4012"/>
      <c r="AS11" s="4012"/>
      <c r="AT11" s="4012"/>
      <c r="AU11" s="4012"/>
      <c r="AV11" s="4012"/>
      <c r="AW11" s="4012"/>
      <c r="AX11" s="4012"/>
      <c r="AY11" s="4012"/>
      <c r="AZ11" s="4012"/>
      <c r="BA11" s="4012"/>
      <c r="BB11" s="4012"/>
      <c r="BC11" s="4012"/>
      <c r="BD11" s="4012"/>
      <c r="BE11" s="4012"/>
      <c r="BF11" s="4012"/>
      <c r="BG11" s="4012"/>
      <c r="BH11" s="4012"/>
      <c r="BI11" s="4012"/>
      <c r="BJ11" s="4012"/>
      <c r="BK11" s="4012"/>
      <c r="BL11" s="4012"/>
      <c r="BM11" s="4012"/>
      <c r="BN11" s="4012"/>
      <c r="BO11" s="4012"/>
      <c r="BP11" s="4012"/>
      <c r="BQ11" s="4012"/>
      <c r="BR11" s="4012"/>
      <c r="BS11" s="4013"/>
      <c r="BT11" s="3717" t="s">
        <v>1100</v>
      </c>
      <c r="BU11" s="3808"/>
      <c r="BV11" s="3808"/>
      <c r="BW11" s="3808"/>
      <c r="BX11" s="3808"/>
      <c r="BY11" s="3808"/>
      <c r="BZ11" s="3808"/>
      <c r="CA11" s="3808"/>
      <c r="CB11" s="3808"/>
      <c r="CC11" s="3808"/>
      <c r="CD11" s="3808"/>
      <c r="CE11" s="3808"/>
      <c r="CF11" s="3808"/>
      <c r="CG11" s="3808"/>
      <c r="CH11" s="3808"/>
      <c r="CI11" s="3808"/>
      <c r="CJ11" s="3808"/>
      <c r="CK11" s="3809"/>
      <c r="CL11" s="4014"/>
      <c r="CM11" s="4012"/>
      <c r="CN11" s="4012"/>
      <c r="CO11" s="4012"/>
      <c r="CP11" s="4012"/>
      <c r="CQ11" s="4012"/>
      <c r="CR11" s="4012"/>
      <c r="CS11" s="4012"/>
      <c r="CT11" s="4012"/>
      <c r="CU11" s="4012"/>
      <c r="CV11" s="4012"/>
      <c r="CW11" s="4012"/>
      <c r="CX11" s="4013"/>
      <c r="CY11" s="3717" t="s">
        <v>1100</v>
      </c>
      <c r="CZ11" s="3808"/>
      <c r="DA11" s="3808"/>
      <c r="DB11" s="3808"/>
      <c r="DC11" s="3808"/>
      <c r="DD11" s="3808"/>
      <c r="DE11" s="3808"/>
      <c r="DF11" s="3808"/>
      <c r="DG11" s="3808"/>
      <c r="DH11" s="3808"/>
      <c r="DI11" s="3808"/>
      <c r="DJ11" s="3809"/>
      <c r="DK11" s="4014"/>
      <c r="DL11" s="4012"/>
      <c r="DM11" s="4012"/>
      <c r="DN11" s="4012"/>
      <c r="DO11" s="4012"/>
      <c r="DP11" s="4012"/>
      <c r="DQ11" s="4012"/>
      <c r="DR11" s="4012"/>
      <c r="DS11" s="4012"/>
      <c r="DT11" s="4012"/>
      <c r="DU11" s="4012"/>
      <c r="DV11" s="4012"/>
      <c r="DW11" s="4012"/>
      <c r="DX11" s="4012"/>
      <c r="DY11" s="4012"/>
      <c r="DZ11" s="4012"/>
      <c r="EA11" s="4012"/>
      <c r="EB11" s="4012"/>
      <c r="EC11" s="4012"/>
      <c r="ED11" s="4012"/>
      <c r="EE11" s="4012"/>
      <c r="EF11" s="4012"/>
      <c r="EG11" s="4012"/>
      <c r="EH11" s="4012"/>
      <c r="EI11" s="4012"/>
      <c r="EJ11" s="4012"/>
      <c r="EK11" s="4012"/>
      <c r="EL11" s="4012"/>
      <c r="EM11" s="4012"/>
      <c r="EN11" s="4012"/>
      <c r="EO11" s="4012"/>
      <c r="EP11" s="4012"/>
      <c r="EQ11" s="4012"/>
      <c r="ER11" s="4012"/>
      <c r="ES11" s="4012"/>
      <c r="ET11" s="4012"/>
      <c r="EU11" s="4012"/>
      <c r="EV11" s="4012"/>
      <c r="EW11" s="4012"/>
      <c r="EX11" s="4012"/>
      <c r="EY11" s="4012"/>
      <c r="EZ11" s="4012"/>
      <c r="FA11" s="4012"/>
      <c r="FB11" s="4012"/>
      <c r="FC11" s="4012"/>
      <c r="FD11" s="4012"/>
      <c r="FE11" s="4012"/>
      <c r="FF11" s="4012"/>
      <c r="FG11" s="4012"/>
      <c r="FH11" s="4012"/>
      <c r="FI11" s="4012"/>
      <c r="FJ11" s="4012"/>
      <c r="FK11" s="4012"/>
      <c r="FL11" s="4012"/>
      <c r="FM11" s="4012"/>
      <c r="FN11" s="4012"/>
      <c r="FO11" s="4012"/>
      <c r="FP11" s="4012"/>
      <c r="FQ11" s="4012"/>
      <c r="FR11" s="4012"/>
      <c r="FS11" s="4012"/>
      <c r="FT11" s="4012"/>
      <c r="FU11" s="4012"/>
      <c r="FV11" s="4012"/>
      <c r="FW11" s="1197"/>
      <c r="GC11" s="1179">
        <v>12</v>
      </c>
    </row>
    <row customHeight="1" ht="12.75">
      <c r="E12" s="1199"/>
      <c r="F12" s="314"/>
      <c r="G12" s="314"/>
      <c r="H12" s="314"/>
      <c r="I12" s="314"/>
      <c r="J12" s="1200"/>
      <c r="K12" s="1200"/>
      <c r="L12" s="1200"/>
      <c r="M12" s="1200"/>
      <c r="N12" s="1200"/>
      <c r="O12" s="3579" t="s">
        <v>1101</v>
      </c>
      <c r="P12" s="3579"/>
      <c r="Q12" s="3579"/>
      <c r="R12" s="3579"/>
      <c r="S12" s="3579" t="s">
        <v>1102</v>
      </c>
      <c r="T12" s="3579"/>
      <c r="U12" s="3579"/>
      <c r="V12" s="3579"/>
      <c r="W12" s="3579"/>
      <c r="X12" s="3579"/>
      <c r="Y12" s="3579"/>
      <c r="Z12" s="3579"/>
      <c r="AA12" s="3579"/>
      <c r="AB12" s="3579"/>
      <c r="AC12" s="4012"/>
      <c r="AD12" s="4012"/>
      <c r="AE12" s="4012"/>
      <c r="AF12" s="4012"/>
      <c r="AG12" s="4012"/>
      <c r="AH12" s="4012"/>
      <c r="AI12" s="4012"/>
      <c r="AJ12" s="4012"/>
      <c r="AK12" s="4012"/>
      <c r="AL12" s="4012"/>
      <c r="AM12" s="4012"/>
      <c r="AN12" s="4012"/>
      <c r="AO12" s="4012"/>
      <c r="AP12" s="4012"/>
      <c r="AQ12" s="4012"/>
      <c r="AR12" s="4012"/>
      <c r="AS12" s="4012"/>
      <c r="AT12" s="4012"/>
      <c r="AU12" s="4012"/>
      <c r="AV12" s="4012"/>
      <c r="AW12" s="4012"/>
      <c r="AX12" s="4012"/>
      <c r="AY12" s="4012"/>
      <c r="AZ12" s="4012"/>
      <c r="BA12" s="4012"/>
      <c r="BB12" s="4012"/>
      <c r="BC12" s="4012"/>
      <c r="BD12" s="4012"/>
      <c r="BE12" s="4012"/>
      <c r="BF12" s="4012"/>
      <c r="BG12" s="4012"/>
      <c r="BH12" s="4012"/>
      <c r="BI12" s="4012"/>
      <c r="BJ12" s="4012"/>
      <c r="BK12" s="4012"/>
      <c r="BL12" s="4012"/>
      <c r="BM12" s="4012"/>
      <c r="BN12" s="4012"/>
      <c r="BO12" s="4012"/>
      <c r="BP12" s="4012"/>
      <c r="BQ12" s="4012"/>
      <c r="BR12" s="4012"/>
      <c r="BS12" s="4013"/>
      <c r="BT12" s="3717" t="s">
        <v>1103</v>
      </c>
      <c r="BU12" s="3808"/>
      <c r="BV12" s="3808"/>
      <c r="BW12" s="3809"/>
      <c r="BX12" s="3717" t="s">
        <v>1104</v>
      </c>
      <c r="BY12" s="3808"/>
      <c r="BZ12" s="3808"/>
      <c r="CA12" s="3809"/>
      <c r="CB12" s="3717" t="s">
        <v>1105</v>
      </c>
      <c r="CC12" s="3809"/>
      <c r="CD12" s="3717" t="s">
        <v>1106</v>
      </c>
      <c r="CE12" s="3808"/>
      <c r="CF12" s="3808"/>
      <c r="CG12" s="3808"/>
      <c r="CH12" s="3808"/>
      <c r="CI12" s="3808"/>
      <c r="CJ12" s="3808"/>
      <c r="CK12" s="3809"/>
      <c r="CL12" s="4014"/>
      <c r="CM12" s="4012"/>
      <c r="CN12" s="4012"/>
      <c r="CO12" s="4012"/>
      <c r="CP12" s="4012"/>
      <c r="CQ12" s="4012"/>
      <c r="CR12" s="4012"/>
      <c r="CS12" s="4012"/>
      <c r="CT12" s="4012"/>
      <c r="CU12" s="4012"/>
      <c r="CV12" s="4012"/>
      <c r="CW12" s="4012"/>
      <c r="CX12" s="4013"/>
      <c r="CY12" s="3717" t="s">
        <v>1107</v>
      </c>
      <c r="CZ12" s="3808"/>
      <c r="DA12" s="3808"/>
      <c r="DB12" s="3808"/>
      <c r="DC12" s="3808"/>
      <c r="DD12" s="3809"/>
      <c r="DE12" s="3717" t="s">
        <v>1108</v>
      </c>
      <c r="DF12" s="3809"/>
      <c r="DG12" s="3717" t="s">
        <v>1106</v>
      </c>
      <c r="DH12" s="3808"/>
      <c r="DI12" s="3808"/>
      <c r="DJ12" s="3809"/>
      <c r="DK12" s="4014"/>
      <c r="DL12" s="4012"/>
      <c r="DM12" s="4012"/>
      <c r="DN12" s="4012"/>
      <c r="DO12" s="4012"/>
      <c r="DP12" s="4012"/>
      <c r="DQ12" s="4012"/>
      <c r="DR12" s="4012"/>
      <c r="DS12" s="4012"/>
      <c r="DT12" s="4012"/>
      <c r="DU12" s="4012"/>
      <c r="DV12" s="4012"/>
      <c r="DW12" s="4012"/>
      <c r="DX12" s="4012"/>
      <c r="DY12" s="4012"/>
      <c r="DZ12" s="4012"/>
      <c r="EA12" s="4012"/>
      <c r="EB12" s="4012"/>
      <c r="EC12" s="4012"/>
      <c r="ED12" s="4012"/>
      <c r="EE12" s="4012"/>
      <c r="EF12" s="4012"/>
      <c r="EG12" s="4012"/>
      <c r="EH12" s="4012"/>
      <c r="EI12" s="4012"/>
      <c r="EJ12" s="4012"/>
      <c r="EK12" s="4012"/>
      <c r="EL12" s="4012"/>
      <c r="EM12" s="4012"/>
      <c r="EN12" s="4012"/>
      <c r="EO12" s="4012"/>
      <c r="EP12" s="4012"/>
      <c r="EQ12" s="4012"/>
      <c r="ER12" s="4012"/>
      <c r="ES12" s="4012"/>
      <c r="ET12" s="4012"/>
      <c r="EU12" s="4012"/>
      <c r="EV12" s="4012"/>
      <c r="EW12" s="4012"/>
      <c r="EX12" s="4012"/>
      <c r="EY12" s="4012"/>
      <c r="EZ12" s="4012"/>
      <c r="FA12" s="4012"/>
      <c r="FB12" s="4012"/>
      <c r="FC12" s="4012"/>
      <c r="FD12" s="4012"/>
      <c r="FE12" s="4012"/>
      <c r="FF12" s="4012"/>
      <c r="FG12" s="4012"/>
      <c r="FH12" s="4012"/>
      <c r="FI12" s="4012"/>
      <c r="FJ12" s="4012"/>
      <c r="FK12" s="4012"/>
      <c r="FL12" s="4012"/>
      <c r="FM12" s="4012"/>
      <c r="FN12" s="4012"/>
      <c r="FO12" s="4012"/>
      <c r="FP12" s="4012"/>
      <c r="FQ12" s="4012"/>
      <c r="FR12" s="4012"/>
      <c r="FS12" s="4012"/>
      <c r="FT12" s="4012"/>
      <c r="FU12" s="4012"/>
      <c r="FV12" s="4012"/>
      <c r="FW12" s="1197"/>
      <c r="GC12" s="1179">
        <v>12</v>
      </c>
    </row>
    <row customHeight="1" ht="37.8">
      <c r="E13" s="1199"/>
      <c r="F13" s="314"/>
      <c r="G13" s="314"/>
      <c r="H13" s="314"/>
      <c r="I13" s="314"/>
      <c r="J13" s="1200"/>
      <c r="K13" s="1200"/>
      <c r="L13" s="1200"/>
      <c r="M13" s="1200"/>
      <c r="N13" s="1200"/>
      <c r="O13" s="3579" t="s">
        <v>1109</v>
      </c>
      <c r="P13" s="3579"/>
      <c r="Q13" s="3579"/>
      <c r="R13" s="3579"/>
      <c r="S13" s="3899" t="s">
        <v>1110</v>
      </c>
      <c r="T13" s="3994"/>
      <c r="U13" s="3480" t="s">
        <v>1111</v>
      </c>
      <c r="V13" s="3480"/>
      <c r="W13" s="3480"/>
      <c r="X13" s="3480"/>
      <c r="Y13" s="3480" t="s">
        <v>1112</v>
      </c>
      <c r="Z13" s="3480"/>
      <c r="AA13" s="3480"/>
      <c r="AB13" s="3480"/>
      <c r="AC13" s="4012"/>
      <c r="AD13" s="4012"/>
      <c r="AE13" s="4012"/>
      <c r="AF13" s="4012"/>
      <c r="AG13" s="4012"/>
      <c r="AH13" s="4012"/>
      <c r="AI13" s="4012"/>
      <c r="AJ13" s="4012"/>
      <c r="AK13" s="4012"/>
      <c r="AL13" s="4012"/>
      <c r="AM13" s="4012"/>
      <c r="AN13" s="4012"/>
      <c r="AO13" s="4012"/>
      <c r="AP13" s="4012"/>
      <c r="AQ13" s="4012"/>
      <c r="AR13" s="4012"/>
      <c r="AS13" s="4012"/>
      <c r="AT13" s="4012"/>
      <c r="AU13" s="4012"/>
      <c r="AV13" s="4012"/>
      <c r="AW13" s="4012"/>
      <c r="AX13" s="4012"/>
      <c r="AY13" s="4012"/>
      <c r="AZ13" s="4012"/>
      <c r="BA13" s="4012"/>
      <c r="BB13" s="4012"/>
      <c r="BC13" s="4012"/>
      <c r="BD13" s="4012"/>
      <c r="BE13" s="4012"/>
      <c r="BF13" s="4012"/>
      <c r="BG13" s="4012"/>
      <c r="BH13" s="4012"/>
      <c r="BI13" s="4012"/>
      <c r="BJ13" s="4012"/>
      <c r="BK13" s="4012"/>
      <c r="BL13" s="4012"/>
      <c r="BM13" s="4012"/>
      <c r="BN13" s="4012"/>
      <c r="BO13" s="4012"/>
      <c r="BP13" s="4012"/>
      <c r="BQ13" s="4012"/>
      <c r="BR13" s="4012"/>
      <c r="BS13" s="4013"/>
      <c r="BT13" s="3899" t="s">
        <v>1113</v>
      </c>
      <c r="BU13" s="3994"/>
      <c r="BV13" s="3899" t="s">
        <v>1114</v>
      </c>
      <c r="BW13" s="3994"/>
      <c r="BX13" s="3899" t="s">
        <v>1115</v>
      </c>
      <c r="BY13" s="3994"/>
      <c r="BZ13" s="3899" t="s">
        <v>1116</v>
      </c>
      <c r="CA13" s="3994"/>
      <c r="CB13" s="3899" t="s">
        <v>1117</v>
      </c>
      <c r="CC13" s="3994"/>
      <c r="CD13" s="3899" t="s">
        <v>1118</v>
      </c>
      <c r="CE13" s="3994"/>
      <c r="CF13" s="3899" t="s">
        <v>1119</v>
      </c>
      <c r="CG13" s="3994"/>
      <c r="CH13" s="3717" t="s">
        <v>1120</v>
      </c>
      <c r="CI13" s="3808"/>
      <c r="CJ13" s="3808"/>
      <c r="CK13" s="3809"/>
      <c r="CL13" s="4014"/>
      <c r="CM13" s="4012"/>
      <c r="CN13" s="4012"/>
      <c r="CO13" s="4012"/>
      <c r="CP13" s="4012"/>
      <c r="CQ13" s="4012"/>
      <c r="CR13" s="4012"/>
      <c r="CS13" s="4012"/>
      <c r="CT13" s="4012"/>
      <c r="CU13" s="4012"/>
      <c r="CV13" s="4012"/>
      <c r="CW13" s="4012"/>
      <c r="CX13" s="4013"/>
      <c r="CY13" s="3899" t="s">
        <v>1121</v>
      </c>
      <c r="CZ13" s="3994"/>
      <c r="DA13" s="3899" t="s">
        <v>1122</v>
      </c>
      <c r="DB13" s="3994"/>
      <c r="DC13" s="3899" t="s">
        <v>1123</v>
      </c>
      <c r="DD13" s="3994"/>
      <c r="DE13" s="3899" t="s">
        <v>1124</v>
      </c>
      <c r="DF13" s="3994"/>
      <c r="DG13" s="3717" t="s">
        <v>1125</v>
      </c>
      <c r="DH13" s="3808"/>
      <c r="DI13" s="3808"/>
      <c r="DJ13" s="3809"/>
      <c r="DK13" s="4014"/>
      <c r="DL13" s="4012"/>
      <c r="DM13" s="4012"/>
      <c r="DN13" s="4012"/>
      <c r="DO13" s="4012"/>
      <c r="DP13" s="4012"/>
      <c r="DQ13" s="4012"/>
      <c r="DR13" s="4012"/>
      <c r="DS13" s="4012"/>
      <c r="DT13" s="4012"/>
      <c r="DU13" s="4012"/>
      <c r="DV13" s="4012"/>
      <c r="DW13" s="4012"/>
      <c r="DX13" s="4012"/>
      <c r="DY13" s="4012"/>
      <c r="DZ13" s="4012"/>
      <c r="EA13" s="4012"/>
      <c r="EB13" s="4012"/>
      <c r="EC13" s="4012"/>
      <c r="ED13" s="4012"/>
      <c r="EE13" s="4012"/>
      <c r="EF13" s="4012"/>
      <c r="EG13" s="4012"/>
      <c r="EH13" s="4012"/>
      <c r="EI13" s="4012"/>
      <c r="EJ13" s="4012"/>
      <c r="EK13" s="4012"/>
      <c r="EL13" s="4012"/>
      <c r="EM13" s="4012"/>
      <c r="EN13" s="4012"/>
      <c r="EO13" s="4012"/>
      <c r="EP13" s="4012"/>
      <c r="EQ13" s="4012"/>
      <c r="ER13" s="4012"/>
      <c r="ES13" s="4012"/>
      <c r="ET13" s="4012"/>
      <c r="EU13" s="4012"/>
      <c r="EV13" s="4012"/>
      <c r="EW13" s="4012"/>
      <c r="EX13" s="4012"/>
      <c r="EY13" s="4012"/>
      <c r="EZ13" s="4012"/>
      <c r="FA13" s="4012"/>
      <c r="FB13" s="4012"/>
      <c r="FC13" s="4012"/>
      <c r="FD13" s="4012"/>
      <c r="FE13" s="4012"/>
      <c r="FF13" s="4012"/>
      <c r="FG13" s="4012"/>
      <c r="FH13" s="4012"/>
      <c r="FI13" s="4012"/>
      <c r="FJ13" s="4012"/>
      <c r="FK13" s="4012"/>
      <c r="FL13" s="4012"/>
      <c r="FM13" s="4012"/>
      <c r="FN13" s="4012"/>
      <c r="FO13" s="4012"/>
      <c r="FP13" s="4012"/>
      <c r="FQ13" s="4012"/>
      <c r="FR13" s="4012"/>
      <c r="FS13" s="4012"/>
      <c r="FT13" s="4012"/>
      <c r="FU13" s="4012"/>
      <c r="FV13" s="4012"/>
      <c r="FW13" s="1197"/>
      <c r="GC13" s="1179">
        <v>36</v>
      </c>
    </row>
    <row customHeight="1" ht="37.8">
      <c r="E14" s="1199"/>
      <c r="F14" s="314"/>
      <c r="G14" s="314"/>
      <c r="H14" s="314"/>
      <c r="I14" s="314"/>
      <c r="J14" s="1200"/>
      <c r="K14" s="1200"/>
      <c r="L14" s="1200"/>
      <c r="M14" s="1200"/>
      <c r="N14" s="1200"/>
      <c r="O14" s="3899" t="s">
        <v>1126</v>
      </c>
      <c r="P14" s="3994"/>
      <c r="Q14" s="3899" t="s">
        <v>1127</v>
      </c>
      <c r="R14" s="3994"/>
      <c r="S14" s="3902"/>
      <c r="T14" s="3588"/>
      <c r="U14" s="3899" t="s">
        <v>858</v>
      </c>
      <c r="V14" s="3994"/>
      <c r="W14" s="3899" t="s">
        <v>861</v>
      </c>
      <c r="X14" s="3994"/>
      <c r="Y14" s="3899" t="s">
        <v>858</v>
      </c>
      <c r="Z14" s="3994"/>
      <c r="AA14" s="3899" t="s">
        <v>868</v>
      </c>
      <c r="AB14" s="3994"/>
      <c r="AC14" s="4012"/>
      <c r="AD14" s="4012"/>
      <c r="AE14" s="4012"/>
      <c r="AF14" s="4012"/>
      <c r="AG14" s="4012"/>
      <c r="AH14" s="4012"/>
      <c r="AI14" s="4012"/>
      <c r="AJ14" s="4012"/>
      <c r="AK14" s="4012"/>
      <c r="AL14" s="4012"/>
      <c r="AM14" s="4012"/>
      <c r="AN14" s="4012"/>
      <c r="AO14" s="4012"/>
      <c r="AP14" s="4012"/>
      <c r="AQ14" s="4012"/>
      <c r="AR14" s="4012"/>
      <c r="AS14" s="4012"/>
      <c r="AT14" s="4012"/>
      <c r="AU14" s="4012"/>
      <c r="AV14" s="4012"/>
      <c r="AW14" s="4012"/>
      <c r="AX14" s="4012"/>
      <c r="AY14" s="4012"/>
      <c r="AZ14" s="4012"/>
      <c r="BA14" s="4012"/>
      <c r="BB14" s="4012"/>
      <c r="BC14" s="4012"/>
      <c r="BD14" s="4012"/>
      <c r="BE14" s="4012"/>
      <c r="BF14" s="4012"/>
      <c r="BG14" s="4012"/>
      <c r="BH14" s="4012"/>
      <c r="BI14" s="4012"/>
      <c r="BJ14" s="4012"/>
      <c r="BK14" s="4012"/>
      <c r="BL14" s="4012"/>
      <c r="BM14" s="4012"/>
      <c r="BN14" s="4012"/>
      <c r="BO14" s="4012"/>
      <c r="BP14" s="4012"/>
      <c r="BQ14" s="4012"/>
      <c r="BR14" s="4012"/>
      <c r="BS14" s="4013"/>
      <c r="BT14" s="3902"/>
      <c r="BU14" s="3588"/>
      <c r="BV14" s="3902"/>
      <c r="BW14" s="3588"/>
      <c r="BX14" s="3902"/>
      <c r="BY14" s="3588"/>
      <c r="BZ14" s="3902"/>
      <c r="CA14" s="3588"/>
      <c r="CB14" s="3902"/>
      <c r="CC14" s="3588"/>
      <c r="CD14" s="3902"/>
      <c r="CE14" s="3588"/>
      <c r="CF14" s="3902"/>
      <c r="CG14" s="3588"/>
      <c r="CH14" s="3899" t="s">
        <v>1128</v>
      </c>
      <c r="CI14" s="3994"/>
      <c r="CJ14" s="3899" t="s">
        <v>1129</v>
      </c>
      <c r="CK14" s="3994"/>
      <c r="CL14" s="4014"/>
      <c r="CM14" s="4012"/>
      <c r="CN14" s="4012"/>
      <c r="CO14" s="4012"/>
      <c r="CP14" s="4012"/>
      <c r="CQ14" s="4012"/>
      <c r="CR14" s="4012"/>
      <c r="CS14" s="4012"/>
      <c r="CT14" s="4012"/>
      <c r="CU14" s="4012"/>
      <c r="CV14" s="4012"/>
      <c r="CW14" s="4012"/>
      <c r="CX14" s="4013"/>
      <c r="CY14" s="3902"/>
      <c r="CZ14" s="3588"/>
      <c r="DA14" s="3902"/>
      <c r="DB14" s="3588"/>
      <c r="DC14" s="3902"/>
      <c r="DD14" s="3588"/>
      <c r="DE14" s="3902"/>
      <c r="DF14" s="3588"/>
      <c r="DG14" s="3899" t="s">
        <v>1130</v>
      </c>
      <c r="DH14" s="3994"/>
      <c r="DI14" s="3899" t="s">
        <v>1131</v>
      </c>
      <c r="DJ14" s="3994"/>
      <c r="DK14" s="4014"/>
      <c r="DL14" s="4012"/>
      <c r="DM14" s="4012"/>
      <c r="DN14" s="4012"/>
      <c r="DO14" s="4012"/>
      <c r="DP14" s="4012"/>
      <c r="DQ14" s="4012"/>
      <c r="DR14" s="4012"/>
      <c r="DS14" s="4012"/>
      <c r="DT14" s="4012"/>
      <c r="DU14" s="4012"/>
      <c r="DV14" s="4012"/>
      <c r="DW14" s="4012"/>
      <c r="DX14" s="4012"/>
      <c r="DY14" s="4012"/>
      <c r="DZ14" s="4012"/>
      <c r="EA14" s="4012"/>
      <c r="EB14" s="4012"/>
      <c r="EC14" s="4012"/>
      <c r="ED14" s="4012"/>
      <c r="EE14" s="4012"/>
      <c r="EF14" s="4012"/>
      <c r="EG14" s="4012"/>
      <c r="EH14" s="4012"/>
      <c r="EI14" s="4012"/>
      <c r="EJ14" s="4012"/>
      <c r="EK14" s="4012"/>
      <c r="EL14" s="4012"/>
      <c r="EM14" s="4012"/>
      <c r="EN14" s="4012"/>
      <c r="EO14" s="4012"/>
      <c r="EP14" s="4012"/>
      <c r="EQ14" s="4012"/>
      <c r="ER14" s="4012"/>
      <c r="ES14" s="4012"/>
      <c r="ET14" s="4012"/>
      <c r="EU14" s="4012"/>
      <c r="EV14" s="4012"/>
      <c r="EW14" s="4012"/>
      <c r="EX14" s="4012"/>
      <c r="EY14" s="4012"/>
      <c r="EZ14" s="4012"/>
      <c r="FA14" s="4012"/>
      <c r="FB14" s="4012"/>
      <c r="FC14" s="4012"/>
      <c r="FD14" s="4012"/>
      <c r="FE14" s="4012"/>
      <c r="FF14" s="4012"/>
      <c r="FG14" s="4012"/>
      <c r="FH14" s="4012"/>
      <c r="FI14" s="4012"/>
      <c r="FJ14" s="4012"/>
      <c r="FK14" s="4012"/>
      <c r="FL14" s="4012"/>
      <c r="FM14" s="4012"/>
      <c r="FN14" s="4012"/>
      <c r="FO14" s="4012"/>
      <c r="FP14" s="4012"/>
      <c r="FQ14" s="4012"/>
      <c r="FR14" s="4012"/>
      <c r="FS14" s="4012"/>
      <c r="FT14" s="4012"/>
      <c r="FU14" s="4012"/>
      <c r="FV14" s="4012"/>
      <c r="FW14" s="1197"/>
      <c r="GC14" s="1179">
        <v>36</v>
      </c>
    </row>
    <row customHeight="1" ht="37.8">
      <c r="E15" s="1199"/>
      <c r="F15" s="314"/>
      <c r="G15" s="314"/>
      <c r="H15" s="314"/>
      <c r="I15" s="314"/>
      <c r="J15" s="1200"/>
      <c r="K15" s="1200"/>
      <c r="L15" s="1200"/>
      <c r="M15" s="1200"/>
      <c r="N15" s="1200"/>
      <c r="O15" s="3908"/>
      <c r="P15" s="3918"/>
      <c r="Q15" s="3908"/>
      <c r="R15" s="3918"/>
      <c r="S15" s="3908"/>
      <c r="T15" s="3918"/>
      <c r="U15" s="3908"/>
      <c r="V15" s="3918"/>
      <c r="W15" s="3908"/>
      <c r="X15" s="3918"/>
      <c r="Y15" s="3908"/>
      <c r="Z15" s="3918"/>
      <c r="AA15" s="3908"/>
      <c r="AB15" s="3918"/>
      <c r="AC15" s="4012"/>
      <c r="AD15" s="4012"/>
      <c r="AE15" s="4012"/>
      <c r="AF15" s="4012"/>
      <c r="AG15" s="4012"/>
      <c r="AH15" s="4012"/>
      <c r="AI15" s="4012"/>
      <c r="AJ15" s="4012"/>
      <c r="AK15" s="4012"/>
      <c r="AL15" s="4012"/>
      <c r="AM15" s="4012"/>
      <c r="AN15" s="4012"/>
      <c r="AO15" s="4012"/>
      <c r="AP15" s="4012"/>
      <c r="AQ15" s="4012"/>
      <c r="AR15" s="4012"/>
      <c r="AS15" s="4012"/>
      <c r="AT15" s="4012"/>
      <c r="AU15" s="4012"/>
      <c r="AV15" s="4012"/>
      <c r="AW15" s="4012"/>
      <c r="AX15" s="4012"/>
      <c r="AY15" s="4012"/>
      <c r="AZ15" s="4012"/>
      <c r="BA15" s="4012"/>
      <c r="BB15" s="4012"/>
      <c r="BC15" s="4012"/>
      <c r="BD15" s="4012"/>
      <c r="BE15" s="4012"/>
      <c r="BF15" s="4012"/>
      <c r="BG15" s="4012"/>
      <c r="BH15" s="4012"/>
      <c r="BI15" s="4012"/>
      <c r="BJ15" s="4012"/>
      <c r="BK15" s="4012"/>
      <c r="BL15" s="4012"/>
      <c r="BM15" s="4012"/>
      <c r="BN15" s="4012"/>
      <c r="BO15" s="4012"/>
      <c r="BP15" s="4012"/>
      <c r="BQ15" s="4012"/>
      <c r="BR15" s="4012"/>
      <c r="BS15" s="4013"/>
      <c r="BT15" s="3908"/>
      <c r="BU15" s="3918"/>
      <c r="BV15" s="3908"/>
      <c r="BW15" s="3918"/>
      <c r="BX15" s="3908"/>
      <c r="BY15" s="3918"/>
      <c r="BZ15" s="3908"/>
      <c r="CA15" s="3918"/>
      <c r="CB15" s="3908"/>
      <c r="CC15" s="3918"/>
      <c r="CD15" s="3908"/>
      <c r="CE15" s="3918"/>
      <c r="CF15" s="3908"/>
      <c r="CG15" s="3918"/>
      <c r="CH15" s="3908"/>
      <c r="CI15" s="3918"/>
      <c r="CJ15" s="3908"/>
      <c r="CK15" s="3918"/>
      <c r="CL15" s="4014"/>
      <c r="CM15" s="4012"/>
      <c r="CN15" s="4012"/>
      <c r="CO15" s="4012"/>
      <c r="CP15" s="4012"/>
      <c r="CQ15" s="4012"/>
      <c r="CR15" s="4012"/>
      <c r="CS15" s="4012"/>
      <c r="CT15" s="4012"/>
      <c r="CU15" s="4012"/>
      <c r="CV15" s="4012"/>
      <c r="CW15" s="4012"/>
      <c r="CX15" s="4013"/>
      <c r="CY15" s="3908"/>
      <c r="CZ15" s="3918"/>
      <c r="DA15" s="3908"/>
      <c r="DB15" s="3918"/>
      <c r="DC15" s="3908"/>
      <c r="DD15" s="3918"/>
      <c r="DE15" s="3908"/>
      <c r="DF15" s="3918"/>
      <c r="DG15" s="3908"/>
      <c r="DH15" s="3918"/>
      <c r="DI15" s="3908"/>
      <c r="DJ15" s="3918"/>
      <c r="DK15" s="4014"/>
      <c r="DL15" s="4012"/>
      <c r="DM15" s="4012"/>
      <c r="DN15" s="4012"/>
      <c r="DO15" s="4012"/>
      <c r="DP15" s="4012"/>
      <c r="DQ15" s="4012"/>
      <c r="DR15" s="4012"/>
      <c r="DS15" s="4012"/>
      <c r="DT15" s="4012"/>
      <c r="DU15" s="4012"/>
      <c r="DV15" s="4012"/>
      <c r="DW15" s="4012"/>
      <c r="DX15" s="4012"/>
      <c r="DY15" s="4012"/>
      <c r="DZ15" s="4012"/>
      <c r="EA15" s="4012"/>
      <c r="EB15" s="4012"/>
      <c r="EC15" s="4012"/>
      <c r="ED15" s="4012"/>
      <c r="EE15" s="4012"/>
      <c r="EF15" s="4012"/>
      <c r="EG15" s="4012"/>
      <c r="EH15" s="4012"/>
      <c r="EI15" s="4012"/>
      <c r="EJ15" s="4012"/>
      <c r="EK15" s="4012"/>
      <c r="EL15" s="4012"/>
      <c r="EM15" s="4012"/>
      <c r="EN15" s="4012"/>
      <c r="EO15" s="4012"/>
      <c r="EP15" s="4012"/>
      <c r="EQ15" s="4012"/>
      <c r="ER15" s="4012"/>
      <c r="ES15" s="4012"/>
      <c r="ET15" s="4012"/>
      <c r="EU15" s="4012"/>
      <c r="EV15" s="4012"/>
      <c r="EW15" s="4012"/>
      <c r="EX15" s="4012"/>
      <c r="EY15" s="4012"/>
      <c r="EZ15" s="4012"/>
      <c r="FA15" s="4012"/>
      <c r="FB15" s="4012"/>
      <c r="FC15" s="4012"/>
      <c r="FD15" s="4012"/>
      <c r="FE15" s="4012"/>
      <c r="FF15" s="4012"/>
      <c r="FG15" s="4012"/>
      <c r="FH15" s="4012"/>
      <c r="FI15" s="4012"/>
      <c r="FJ15" s="4012"/>
      <c r="FK15" s="4012"/>
      <c r="FL15" s="4012"/>
      <c r="FM15" s="4012"/>
      <c r="FN15" s="4012"/>
      <c r="FO15" s="4012"/>
      <c r="FP15" s="4012"/>
      <c r="FQ15" s="4012"/>
      <c r="FR15" s="4012"/>
      <c r="FS15" s="4012"/>
      <c r="FT15" s="4012"/>
      <c r="FU15" s="4012"/>
      <c r="FV15" s="4012"/>
      <c r="FW15" s="1197"/>
      <c r="GC15" s="1179">
        <v>36</v>
      </c>
    </row>
    <row customHeight="1" ht="12.75">
      <c r="E16" s="1199"/>
      <c r="F16" s="314"/>
      <c r="G16" s="314"/>
      <c r="H16" s="314"/>
      <c r="I16" s="314"/>
      <c r="J16" s="1200"/>
      <c r="K16" s="1200"/>
      <c r="L16" s="1200"/>
      <c r="M16" s="1200"/>
      <c r="N16" s="1200"/>
      <c r="O16" s="3717" t="s">
        <v>848</v>
      </c>
      <c r="P16" s="3809"/>
      <c r="Q16" s="3717" t="s">
        <v>850</v>
      </c>
      <c r="R16" s="3809"/>
      <c r="S16" s="3717" t="s">
        <v>854</v>
      </c>
      <c r="T16" s="3809"/>
      <c r="U16" s="3717" t="s">
        <v>859</v>
      </c>
      <c r="V16" s="3809"/>
      <c r="W16" s="3717" t="s">
        <v>862</v>
      </c>
      <c r="X16" s="3809"/>
      <c r="Y16" s="3717" t="s">
        <v>866</v>
      </c>
      <c r="Z16" s="3809"/>
      <c r="AA16" s="3717" t="s">
        <v>869</v>
      </c>
      <c r="AB16" s="3809"/>
      <c r="AC16" s="4012"/>
      <c r="AD16" s="4012"/>
      <c r="AE16" s="4012"/>
      <c r="AF16" s="4012"/>
      <c r="AG16" s="4012"/>
      <c r="AH16" s="4012"/>
      <c r="AI16" s="4012"/>
      <c r="AJ16" s="4012"/>
      <c r="AK16" s="4012"/>
      <c r="AL16" s="4012"/>
      <c r="AM16" s="4012"/>
      <c r="AN16" s="4012"/>
      <c r="AO16" s="4012"/>
      <c r="AP16" s="4012"/>
      <c r="AQ16" s="4012"/>
      <c r="AR16" s="4012"/>
      <c r="AS16" s="4012"/>
      <c r="AT16" s="4012"/>
      <c r="AU16" s="4012"/>
      <c r="AV16" s="4012"/>
      <c r="AW16" s="4012"/>
      <c r="AX16" s="4012"/>
      <c r="AY16" s="4012"/>
      <c r="AZ16" s="4012"/>
      <c r="BA16" s="4012"/>
      <c r="BB16" s="4012"/>
      <c r="BC16" s="4012"/>
      <c r="BD16" s="4012"/>
      <c r="BE16" s="4012"/>
      <c r="BF16" s="4012"/>
      <c r="BG16" s="4012"/>
      <c r="BH16" s="4012"/>
      <c r="BI16" s="4012"/>
      <c r="BJ16" s="4012"/>
      <c r="BK16" s="4012"/>
      <c r="BL16" s="4012"/>
      <c r="BM16" s="4012"/>
      <c r="BN16" s="4012"/>
      <c r="BO16" s="4012"/>
      <c r="BP16" s="4012"/>
      <c r="BQ16" s="4012"/>
      <c r="BR16" s="4012"/>
      <c r="BS16" s="4013"/>
      <c r="BT16" s="3717" t="s">
        <v>573</v>
      </c>
      <c r="BU16" s="3809"/>
      <c r="BV16" s="3717" t="s">
        <v>573</v>
      </c>
      <c r="BW16" s="3809"/>
      <c r="BX16" s="3717" t="s">
        <v>573</v>
      </c>
      <c r="BY16" s="3809"/>
      <c r="BZ16" s="3717" t="s">
        <v>573</v>
      </c>
      <c r="CA16" s="3809"/>
      <c r="CB16" s="3717" t="s">
        <v>1132</v>
      </c>
      <c r="CC16" s="3809"/>
      <c r="CD16" s="3717" t="s">
        <v>573</v>
      </c>
      <c r="CE16" s="3809"/>
      <c r="CF16" s="3717" t="s">
        <v>1133</v>
      </c>
      <c r="CG16" s="3809"/>
      <c r="CH16" s="3717" t="s">
        <v>1134</v>
      </c>
      <c r="CI16" s="3809"/>
      <c r="CJ16" s="3717" t="s">
        <v>1134</v>
      </c>
      <c r="CK16" s="3809"/>
      <c r="CL16" s="4014"/>
      <c r="CM16" s="4012"/>
      <c r="CN16" s="4012"/>
      <c r="CO16" s="4012"/>
      <c r="CP16" s="4012"/>
      <c r="CQ16" s="4012"/>
      <c r="CR16" s="4012"/>
      <c r="CS16" s="4012"/>
      <c r="CT16" s="4012"/>
      <c r="CU16" s="4012"/>
      <c r="CV16" s="4012"/>
      <c r="CW16" s="4012"/>
      <c r="CX16" s="4013"/>
      <c r="CY16" s="3899" t="s">
        <v>573</v>
      </c>
      <c r="CZ16" s="3994"/>
      <c r="DA16" s="3899" t="s">
        <v>573</v>
      </c>
      <c r="DB16" s="3994"/>
      <c r="DC16" s="3899" t="s">
        <v>573</v>
      </c>
      <c r="DD16" s="3994"/>
      <c r="DE16" s="3717" t="s">
        <v>1132</v>
      </c>
      <c r="DF16" s="3809"/>
      <c r="DG16" s="3717" t="s">
        <v>1135</v>
      </c>
      <c r="DH16" s="3809"/>
      <c r="DI16" s="3717" t="s">
        <v>1135</v>
      </c>
      <c r="DJ16" s="3809"/>
      <c r="DK16" s="4014"/>
      <c r="DL16" s="4012"/>
      <c r="DM16" s="4012"/>
      <c r="DN16" s="4012"/>
      <c r="DO16" s="4012"/>
      <c r="DP16" s="4012"/>
      <c r="DQ16" s="4012"/>
      <c r="DR16" s="4012"/>
      <c r="DS16" s="4012"/>
      <c r="DT16" s="4012"/>
      <c r="DU16" s="4012"/>
      <c r="DV16" s="4012"/>
      <c r="DW16" s="4012"/>
      <c r="DX16" s="4012"/>
      <c r="DY16" s="4012"/>
      <c r="DZ16" s="4012"/>
      <c r="EA16" s="4012"/>
      <c r="EB16" s="4012"/>
      <c r="EC16" s="4012"/>
      <c r="ED16" s="4012"/>
      <c r="EE16" s="4012"/>
      <c r="EF16" s="4012"/>
      <c r="EG16" s="4012"/>
      <c r="EH16" s="4012"/>
      <c r="EI16" s="4012"/>
      <c r="EJ16" s="4012"/>
      <c r="EK16" s="4012"/>
      <c r="EL16" s="4012"/>
      <c r="EM16" s="4012"/>
      <c r="EN16" s="4012"/>
      <c r="EO16" s="4012"/>
      <c r="EP16" s="4012"/>
      <c r="EQ16" s="4012"/>
      <c r="ER16" s="4012"/>
      <c r="ES16" s="4012"/>
      <c r="ET16" s="4012"/>
      <c r="EU16" s="4012"/>
      <c r="EV16" s="4012"/>
      <c r="EW16" s="4012"/>
      <c r="EX16" s="4012"/>
      <c r="EY16" s="4012"/>
      <c r="EZ16" s="4012"/>
      <c r="FA16" s="4012"/>
      <c r="FB16" s="4012"/>
      <c r="FC16" s="4012"/>
      <c r="FD16" s="4012"/>
      <c r="FE16" s="4012"/>
      <c r="FF16" s="4012"/>
      <c r="FG16" s="4012"/>
      <c r="FH16" s="4012"/>
      <c r="FI16" s="4012"/>
      <c r="FJ16" s="4012"/>
      <c r="FK16" s="4012"/>
      <c r="FL16" s="4012"/>
      <c r="FM16" s="4012"/>
      <c r="FN16" s="4012"/>
      <c r="FO16" s="4012"/>
      <c r="FP16" s="4012"/>
      <c r="FQ16" s="4012"/>
      <c r="FR16" s="4012"/>
      <c r="FS16" s="4012"/>
      <c r="FT16" s="4012"/>
      <c r="FU16" s="4012"/>
      <c r="FV16" s="4012"/>
      <c r="FW16" s="1197"/>
      <c r="GC16" s="1179">
        <v>12</v>
      </c>
    </row>
    <row customHeight="1" ht="15.75">
      <c r="E17" s="1199"/>
      <c r="F17" s="314"/>
      <c r="G17" s="314"/>
      <c r="H17" s="314"/>
      <c r="I17" s="314"/>
      <c r="J17" s="1200"/>
      <c r="K17" s="1200"/>
      <c r="L17" s="1200"/>
      <c r="M17" s="1200"/>
      <c r="N17" s="1200"/>
      <c r="O17" s="3579" t="s">
        <v>1136</v>
      </c>
      <c r="P17" s="3579" t="s">
        <v>1137</v>
      </c>
      <c r="Q17" s="3579" t="s">
        <v>1136</v>
      </c>
      <c r="R17" s="3579" t="s">
        <v>1137</v>
      </c>
      <c r="S17" s="3579" t="s">
        <v>1136</v>
      </c>
      <c r="T17" s="3579" t="s">
        <v>1137</v>
      </c>
      <c r="U17" s="3579" t="s">
        <v>1136</v>
      </c>
      <c r="V17" s="3579" t="s">
        <v>1137</v>
      </c>
      <c r="W17" s="3579" t="s">
        <v>1136</v>
      </c>
      <c r="X17" s="3579" t="s">
        <v>1137</v>
      </c>
      <c r="Y17" s="3579" t="s">
        <v>1136</v>
      </c>
      <c r="Z17" s="3579" t="s">
        <v>1137</v>
      </c>
      <c r="AA17" s="3579" t="s">
        <v>1136</v>
      </c>
      <c r="AB17" s="3579" t="s">
        <v>1137</v>
      </c>
      <c r="AC17" s="4012"/>
      <c r="AD17" s="4012"/>
      <c r="AE17" s="4012"/>
      <c r="AF17" s="4012"/>
      <c r="AG17" s="4012"/>
      <c r="AH17" s="4012"/>
      <c r="AI17" s="4012"/>
      <c r="AJ17" s="4012"/>
      <c r="AK17" s="4012"/>
      <c r="AL17" s="4012"/>
      <c r="AM17" s="4012"/>
      <c r="AN17" s="4012"/>
      <c r="AO17" s="4012"/>
      <c r="AP17" s="4012"/>
      <c r="AQ17" s="4012"/>
      <c r="AR17" s="4012"/>
      <c r="AS17" s="4012"/>
      <c r="AT17" s="4012"/>
      <c r="AU17" s="4012"/>
      <c r="AV17" s="4012"/>
      <c r="AW17" s="4012"/>
      <c r="AX17" s="4012"/>
      <c r="AY17" s="4012"/>
      <c r="AZ17" s="4012"/>
      <c r="BA17" s="4012"/>
      <c r="BB17" s="4012"/>
      <c r="BC17" s="4012"/>
      <c r="BD17" s="4012"/>
      <c r="BE17" s="4012"/>
      <c r="BF17" s="4012"/>
      <c r="BG17" s="4012"/>
      <c r="BH17" s="4012"/>
      <c r="BI17" s="4012"/>
      <c r="BJ17" s="4012"/>
      <c r="BK17" s="4012"/>
      <c r="BL17" s="4012"/>
      <c r="BM17" s="4012"/>
      <c r="BN17" s="4012"/>
      <c r="BO17" s="4012"/>
      <c r="BP17" s="4012"/>
      <c r="BQ17" s="4012"/>
      <c r="BR17" s="4012"/>
      <c r="BS17" s="4013"/>
      <c r="BT17" s="3579" t="s">
        <v>1136</v>
      </c>
      <c r="BU17" s="3579" t="s">
        <v>1137</v>
      </c>
      <c r="BV17" s="3579" t="s">
        <v>1136</v>
      </c>
      <c r="BW17" s="3579" t="s">
        <v>1137</v>
      </c>
      <c r="BX17" s="3579" t="s">
        <v>1136</v>
      </c>
      <c r="BY17" s="3579" t="s">
        <v>1137</v>
      </c>
      <c r="BZ17" s="3579" t="s">
        <v>1136</v>
      </c>
      <c r="CA17" s="3579" t="s">
        <v>1137</v>
      </c>
      <c r="CB17" s="3579" t="s">
        <v>1136</v>
      </c>
      <c r="CC17" s="3579" t="s">
        <v>1137</v>
      </c>
      <c r="CD17" s="3579" t="s">
        <v>1136</v>
      </c>
      <c r="CE17" s="3579" t="s">
        <v>1137</v>
      </c>
      <c r="CF17" s="3579" t="s">
        <v>1136</v>
      </c>
      <c r="CG17" s="3579" t="s">
        <v>1137</v>
      </c>
      <c r="CH17" s="3579" t="s">
        <v>1136</v>
      </c>
      <c r="CI17" s="3579" t="s">
        <v>1137</v>
      </c>
      <c r="CJ17" s="3579" t="s">
        <v>1136</v>
      </c>
      <c r="CK17" s="3579" t="s">
        <v>1137</v>
      </c>
      <c r="CL17" s="4014"/>
      <c r="CM17" s="4012"/>
      <c r="CN17" s="4012"/>
      <c r="CO17" s="4012"/>
      <c r="CP17" s="4012"/>
      <c r="CQ17" s="4012"/>
      <c r="CR17" s="4012"/>
      <c r="CS17" s="4012"/>
      <c r="CT17" s="4012"/>
      <c r="CU17" s="4012"/>
      <c r="CV17" s="4012"/>
      <c r="CW17" s="4012"/>
      <c r="CX17" s="4013"/>
      <c r="CY17" s="3579" t="s">
        <v>1136</v>
      </c>
      <c r="CZ17" s="3579" t="s">
        <v>1137</v>
      </c>
      <c r="DA17" s="3579" t="s">
        <v>1136</v>
      </c>
      <c r="DB17" s="3579" t="s">
        <v>1137</v>
      </c>
      <c r="DC17" s="3579" t="s">
        <v>1136</v>
      </c>
      <c r="DD17" s="3579" t="s">
        <v>1137</v>
      </c>
      <c r="DE17" s="3579" t="s">
        <v>1136</v>
      </c>
      <c r="DF17" s="3579" t="s">
        <v>1137</v>
      </c>
      <c r="DG17" s="3579" t="s">
        <v>1136</v>
      </c>
      <c r="DH17" s="3579" t="s">
        <v>1137</v>
      </c>
      <c r="DI17" s="3579" t="s">
        <v>1136</v>
      </c>
      <c r="DJ17" s="3579" t="s">
        <v>1137</v>
      </c>
      <c r="DK17" s="4014"/>
      <c r="DL17" s="4012"/>
      <c r="DM17" s="4012"/>
      <c r="DN17" s="4012"/>
      <c r="DO17" s="4012"/>
      <c r="DP17" s="4012"/>
      <c r="DQ17" s="4012"/>
      <c r="DR17" s="4012"/>
      <c r="DS17" s="4012"/>
      <c r="DT17" s="4012"/>
      <c r="DU17" s="4012"/>
      <c r="DV17" s="4012"/>
      <c r="DW17" s="4012"/>
      <c r="DX17" s="4012"/>
      <c r="DY17" s="4012"/>
      <c r="DZ17" s="4012"/>
      <c r="EA17" s="4012"/>
      <c r="EB17" s="4012"/>
      <c r="EC17" s="4012"/>
      <c r="ED17" s="4012"/>
      <c r="EE17" s="4012"/>
      <c r="EF17" s="4012"/>
      <c r="EG17" s="4012"/>
      <c r="EH17" s="4012"/>
      <c r="EI17" s="4012"/>
      <c r="EJ17" s="4012"/>
      <c r="EK17" s="4012"/>
      <c r="EL17" s="4012"/>
      <c r="EM17" s="4012"/>
      <c r="EN17" s="4012"/>
      <c r="EO17" s="4012"/>
      <c r="EP17" s="4012"/>
      <c r="EQ17" s="4012"/>
      <c r="ER17" s="4012"/>
      <c r="ES17" s="4012"/>
      <c r="ET17" s="4012"/>
      <c r="EU17" s="4012"/>
      <c r="EV17" s="4012"/>
      <c r="EW17" s="4012"/>
      <c r="EX17" s="4012"/>
      <c r="EY17" s="4012"/>
      <c r="EZ17" s="4012"/>
      <c r="FA17" s="4012"/>
      <c r="FB17" s="4012"/>
      <c r="FC17" s="4012"/>
      <c r="FD17" s="4012"/>
      <c r="FE17" s="4012"/>
      <c r="FF17" s="4012"/>
      <c r="FG17" s="4012"/>
      <c r="FH17" s="4012"/>
      <c r="FI17" s="4012"/>
      <c r="FJ17" s="4012"/>
      <c r="FK17" s="4012"/>
      <c r="FL17" s="4012"/>
      <c r="FM17" s="4012"/>
      <c r="FN17" s="4012"/>
      <c r="FO17" s="4012"/>
      <c r="FP17" s="4012"/>
      <c r="FQ17" s="4012"/>
      <c r="FR17" s="4012"/>
      <c r="FS17" s="4012"/>
      <c r="FT17" s="4012"/>
      <c r="FU17" s="4012"/>
      <c r="FV17" s="4012"/>
      <c r="FW17" s="1204"/>
      <c r="GC17" s="1179">
        <v>15</v>
      </c>
    </row>
    <row customHeight="1" ht="12" hidden="1">
      <c r="E18" s="672"/>
      <c r="F18" s="1205"/>
      <c r="G18" s="1205"/>
      <c r="H18" s="1205"/>
      <c r="I18" s="1205"/>
      <c r="J18" s="1206"/>
      <c r="K18" s="1206"/>
      <c r="L18" s="1206"/>
      <c r="M18" s="1206"/>
      <c r="N18" s="1206"/>
      <c r="O18" s="1205"/>
      <c r="P18" s="1205"/>
      <c r="Q18" s="1205"/>
      <c r="R18" s="1205"/>
      <c r="S18" s="1205"/>
      <c r="T18" s="1205"/>
      <c r="U18" s="4015"/>
      <c r="V18" s="4015"/>
      <c r="W18" s="4015"/>
      <c r="X18" s="4015"/>
      <c r="Y18" s="4015"/>
      <c r="Z18" s="4015"/>
      <c r="AA18" s="4015"/>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GC18" s="1178">
        <v>0</v>
      </c>
    </row>
    <row customHeight="1" ht="11.25" hidden="1">
      <c r="E19" s="672"/>
      <c r="F19" s="1205"/>
      <c r="G19" s="1205"/>
      <c r="H19" s="1205"/>
      <c r="I19" s="1205"/>
      <c r="J19" s="1205"/>
      <c r="K19" s="1205"/>
      <c r="L19" s="1205"/>
      <c r="M19" s="1205"/>
      <c r="N19" s="1205"/>
      <c r="O19" s="1205"/>
      <c r="P19" s="1205"/>
      <c r="Q19" s="1205"/>
      <c r="R19" s="1205"/>
      <c r="S19" s="1205"/>
      <c r="T19" s="1205"/>
      <c r="U19" s="4015"/>
      <c r="V19" s="4015"/>
      <c r="W19" s="4015"/>
      <c r="X19" s="4015"/>
      <c r="Y19" s="4015"/>
      <c r="Z19" s="4015"/>
      <c r="AA19" s="4015"/>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GC19" s="1178">
        <v>0</v>
      </c>
    </row>
    <row customHeight="1" ht="11.25" hidden="1">
      <c r="E20" s="672"/>
      <c r="F20" s="1209" t="s">
        <v>391</v>
      </c>
      <c r="G20" s="298"/>
      <c r="H20" s="4016"/>
      <c r="I20" s="4016"/>
      <c r="J20" s="4016"/>
      <c r="K20" s="4016"/>
      <c r="L20" s="4016"/>
      <c r="M20" s="4016"/>
      <c r="N20" s="4016"/>
      <c r="O20" s="298"/>
      <c r="P20" s="298"/>
      <c r="Q20" s="298"/>
      <c r="R20" s="298"/>
      <c r="S20" s="298"/>
      <c r="T20" s="298"/>
      <c r="U20" s="4017"/>
      <c r="V20" s="4017"/>
      <c r="W20" s="4017"/>
      <c r="X20" s="4017"/>
      <c r="Y20" s="4017"/>
      <c r="Z20" s="4017"/>
      <c r="AA20" s="4017"/>
      <c r="AB20" s="298"/>
      <c r="AC20" s="4016"/>
      <c r="AD20" s="4016"/>
      <c r="AE20" s="4016"/>
      <c r="AF20" s="4016"/>
      <c r="AG20" s="4016"/>
      <c r="AH20" s="4016"/>
      <c r="AI20" s="4016"/>
      <c r="AJ20" s="4016"/>
      <c r="AK20" s="4016"/>
      <c r="AL20" s="4016"/>
      <c r="AM20" s="4016"/>
      <c r="AN20" s="4016"/>
      <c r="AO20" s="4016"/>
      <c r="AP20" s="4016"/>
      <c r="AQ20" s="4016"/>
      <c r="AR20" s="4016"/>
      <c r="AS20" s="4016"/>
      <c r="AT20" s="4016"/>
      <c r="AU20" s="4016"/>
      <c r="AV20" s="4016"/>
      <c r="AW20" s="4016"/>
      <c r="AX20" s="4016"/>
      <c r="AY20" s="4016"/>
      <c r="AZ20" s="4016"/>
      <c r="BA20" s="4016"/>
      <c r="BB20" s="4016"/>
      <c r="BC20" s="4016"/>
      <c r="BD20" s="4016"/>
      <c r="BE20" s="4016"/>
      <c r="BF20" s="4016"/>
      <c r="BG20" s="4016"/>
      <c r="BH20" s="4016"/>
      <c r="BI20" s="4016"/>
      <c r="BJ20" s="4016"/>
      <c r="BK20" s="4016"/>
      <c r="BL20" s="4016"/>
      <c r="BM20" s="4016"/>
      <c r="BN20" s="4016"/>
      <c r="BO20" s="4016"/>
      <c r="BP20" s="4016"/>
      <c r="BQ20" s="4016"/>
      <c r="BR20" s="4016"/>
      <c r="BS20" s="4016"/>
      <c r="BT20" s="4016"/>
      <c r="BU20" s="4016"/>
      <c r="BV20" s="4016"/>
      <c r="BW20" s="4016"/>
      <c r="BX20" s="4016"/>
      <c r="BY20" s="4016"/>
      <c r="BZ20" s="4016"/>
      <c r="CA20" s="4016"/>
      <c r="CB20" s="4016"/>
      <c r="CC20" s="4016"/>
      <c r="CD20" s="4016"/>
      <c r="CE20" s="4016"/>
      <c r="CF20" s="4016"/>
      <c r="CG20" s="4016"/>
      <c r="CH20" s="4016"/>
      <c r="CI20" s="4016"/>
      <c r="CJ20" s="4016"/>
      <c r="CK20" s="4016"/>
      <c r="CL20" s="3751"/>
      <c r="CM20" s="3751"/>
      <c r="CN20" s="3751"/>
      <c r="CO20" s="3751"/>
      <c r="CP20" s="3751"/>
      <c r="CQ20" s="3751"/>
      <c r="CR20" s="3751"/>
      <c r="CS20" s="3751"/>
      <c r="CT20" s="3751"/>
      <c r="CU20" s="3751"/>
      <c r="CV20" s="3751"/>
      <c r="CW20" s="3751"/>
      <c r="CX20" s="3751"/>
      <c r="CY20" s="3751"/>
      <c r="CZ20" s="3751"/>
      <c r="DA20" s="3751"/>
      <c r="DB20" s="3751"/>
      <c r="DC20" s="3751"/>
      <c r="DD20" s="3751"/>
      <c r="DE20" s="3751"/>
      <c r="DF20" s="3751"/>
      <c r="DG20" s="3751"/>
      <c r="DH20" s="3751"/>
      <c r="DI20" s="3751"/>
      <c r="DJ20" s="3751"/>
      <c r="DK20" s="3751"/>
      <c r="DL20" s="3751"/>
      <c r="DM20" s="3751"/>
      <c r="DN20" s="3751"/>
      <c r="DO20" s="3751"/>
      <c r="DP20" s="3751"/>
      <c r="DQ20" s="3751"/>
      <c r="DR20" s="3751"/>
      <c r="DS20" s="3751"/>
      <c r="DT20" s="3751"/>
      <c r="DU20" s="3751"/>
      <c r="DV20" s="3751"/>
      <c r="DW20" s="3751"/>
      <c r="DX20" s="3751"/>
      <c r="DY20" s="3751"/>
      <c r="DZ20" s="3751"/>
      <c r="EA20" s="3751"/>
      <c r="EB20" s="3751"/>
      <c r="EC20" s="3751"/>
      <c r="ED20" s="3751"/>
      <c r="EE20" s="3751"/>
      <c r="EF20" s="3751"/>
      <c r="EG20" s="3751"/>
      <c r="EH20" s="3751"/>
      <c r="EI20" s="3751"/>
      <c r="EJ20" s="3751"/>
      <c r="EK20" s="3751"/>
      <c r="EL20" s="3751"/>
      <c r="EM20" s="3751"/>
      <c r="EN20" s="3751"/>
      <c r="EO20" s="3751"/>
      <c r="EP20" s="3751"/>
      <c r="EQ20" s="3751"/>
      <c r="ER20" s="3751"/>
      <c r="ES20" s="3751"/>
      <c r="ET20" s="3751"/>
      <c r="EU20" s="3751"/>
      <c r="EV20" s="3751"/>
      <c r="EW20" s="3751"/>
      <c r="EX20" s="3751"/>
      <c r="EY20" s="3751"/>
      <c r="EZ20" s="3751"/>
      <c r="FA20" s="3751"/>
      <c r="FB20" s="3751"/>
      <c r="FC20" s="3751"/>
      <c r="FD20" s="3751"/>
      <c r="FE20" s="3751"/>
      <c r="FF20" s="3751"/>
      <c r="FG20" s="3751"/>
      <c r="FH20" s="3751"/>
      <c r="FI20" s="3751"/>
      <c r="FJ20" s="3751"/>
      <c r="FK20" s="3751"/>
      <c r="FL20" s="3751"/>
      <c r="FM20" s="3751"/>
      <c r="FN20" s="3751"/>
      <c r="FO20" s="3751"/>
      <c r="FP20" s="3751"/>
      <c r="FQ20" s="3751"/>
      <c r="FR20" s="3751"/>
      <c r="FS20" s="3751"/>
      <c r="FT20" s="3751"/>
      <c r="FU20" s="3751"/>
      <c r="FV20" s="3751"/>
      <c r="FW20" s="3751"/>
      <c r="GC20" s="1178">
        <v>0</v>
      </c>
    </row>
    <row customHeight="1" ht="12.75">
      <c r="F21" s="672"/>
      <c r="G21" s="672"/>
      <c r="H21" s="672"/>
      <c r="I21" s="672"/>
      <c r="J21" s="672"/>
      <c r="K21" s="672"/>
      <c r="L21" s="672"/>
      <c r="M21" s="672"/>
      <c r="N21" s="672"/>
      <c r="O21" s="672"/>
      <c r="P21" s="672"/>
      <c r="Q21" s="672"/>
      <c r="R21" s="672"/>
      <c r="S21" s="1212"/>
      <c r="T21" s="121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2"/>
      <c r="BA21" s="672"/>
      <c r="BB21" s="672"/>
      <c r="BC21" s="672"/>
      <c r="BD21" s="672"/>
      <c r="BE21" s="672"/>
      <c r="BF21" s="672"/>
      <c r="BG21" s="672"/>
      <c r="BH21" s="672"/>
      <c r="BI21" s="672"/>
      <c r="BJ21" s="672"/>
      <c r="BK21" s="672"/>
      <c r="BL21" s="672"/>
      <c r="BM21" s="672"/>
      <c r="BN21" s="672"/>
      <c r="BO21" s="672"/>
      <c r="BP21" s="672"/>
      <c r="BQ21" s="672"/>
      <c r="BR21" s="672"/>
      <c r="BS21" s="672"/>
      <c r="BT21" s="672"/>
      <c r="BU21" s="672"/>
      <c r="BV21" s="672"/>
      <c r="BW21" s="672"/>
      <c r="BX21" s="672"/>
      <c r="BY21" s="672"/>
      <c r="BZ21" s="672"/>
      <c r="CA21" s="672"/>
      <c r="CB21" s="672"/>
      <c r="CC21" s="672"/>
      <c r="CD21" s="672"/>
      <c r="CE21" s="672"/>
      <c r="CF21" s="672"/>
      <c r="CG21" s="672"/>
      <c r="CH21" s="672"/>
      <c r="CI21" s="672"/>
      <c r="CJ21" s="672"/>
      <c r="CK21" s="672"/>
      <c r="CL21" s="672"/>
      <c r="CM21" s="672"/>
      <c r="CN21" s="672"/>
      <c r="CO21" s="672"/>
      <c r="CP21" s="672"/>
      <c r="CQ21" s="672"/>
      <c r="CR21" s="672"/>
      <c r="CS21" s="672"/>
      <c r="CT21" s="672"/>
      <c r="CU21" s="672"/>
      <c r="CV21" s="672"/>
      <c r="CW21" s="672"/>
      <c r="CX21" s="672"/>
      <c r="CY21" s="672"/>
      <c r="CZ21" s="672"/>
      <c r="DA21" s="672"/>
      <c r="DB21" s="672"/>
      <c r="DC21" s="672"/>
      <c r="DD21" s="672"/>
      <c r="DE21" s="672"/>
      <c r="DF21" s="672"/>
      <c r="DG21" s="672"/>
      <c r="DH21" s="672"/>
      <c r="DI21" s="672"/>
      <c r="DJ21" s="672"/>
      <c r="DK21" s="672"/>
      <c r="DL21" s="672"/>
      <c r="DM21" s="672"/>
      <c r="DN21" s="672"/>
      <c r="DO21" s="672"/>
      <c r="DP21" s="672"/>
      <c r="DQ21" s="672"/>
      <c r="DR21" s="672"/>
      <c r="DS21" s="672"/>
      <c r="DT21" s="672"/>
      <c r="DU21" s="672"/>
      <c r="DV21" s="672"/>
      <c r="DW21" s="672"/>
      <c r="DX21" s="672"/>
      <c r="DY21" s="672"/>
      <c r="DZ21" s="672"/>
      <c r="EA21" s="672"/>
      <c r="EB21" s="672"/>
      <c r="EC21" s="672"/>
      <c r="ED21" s="672"/>
      <c r="EE21" s="672"/>
      <c r="EF21" s="672"/>
      <c r="EG21" s="672"/>
      <c r="EH21" s="672"/>
      <c r="EI21" s="672"/>
      <c r="EJ21" s="672"/>
      <c r="EK21" s="672"/>
      <c r="EL21" s="672"/>
      <c r="EM21" s="672"/>
      <c r="EN21" s="672"/>
      <c r="EO21" s="672"/>
      <c r="EP21" s="672"/>
      <c r="EQ21" s="672"/>
      <c r="ER21" s="672"/>
      <c r="ES21" s="672"/>
      <c r="ET21" s="672"/>
      <c r="EU21" s="672"/>
      <c r="EV21" s="672"/>
      <c r="EW21" s="672"/>
      <c r="EX21" s="672"/>
      <c r="EY21" s="672"/>
      <c r="EZ21" s="672"/>
      <c r="FA21" s="672"/>
      <c r="FB21" s="672"/>
      <c r="FC21" s="672"/>
      <c r="FD21" s="672"/>
      <c r="FE21" s="672"/>
      <c r="FF21" s="672"/>
      <c r="FG21" s="672"/>
      <c r="FH21" s="672"/>
      <c r="FI21" s="672"/>
      <c r="FJ21" s="672"/>
      <c r="FK21" s="672"/>
      <c r="FL21" s="672"/>
      <c r="FM21" s="672"/>
      <c r="FN21" s="672"/>
      <c r="FO21" s="672"/>
      <c r="FP21" s="672"/>
      <c r="FQ21" s="672"/>
      <c r="FR21" s="672"/>
      <c r="FS21" s="672"/>
      <c r="FT21" s="672"/>
      <c r="FU21" s="672"/>
      <c r="FV21" s="672"/>
      <c r="FW21" s="672"/>
      <c r="GC21" s="1178">
        <v>12</v>
      </c>
    </row>
    <row customHeight="1" ht="12.75">
      <c r="GC22" s="1178">
        <v>12</v>
      </c>
    </row>
    <row customHeight="1" ht="12.75">
      <c r="GC23" s="1179">
        <v>12</v>
      </c>
    </row>
    <row customHeight="1" ht="12.75">
      <c r="GC24" s="1179">
        <v>12</v>
      </c>
    </row>
    <row customHeight="1" ht="12" hidden="1">
      <c r="A25" s="1179" t="s">
        <v>80</v>
      </c>
      <c r="B25" s="1213">
        <v>0</v>
      </c>
      <c r="C25" s="1179">
        <v>0</v>
      </c>
      <c r="D25" s="1179">
        <v>0</v>
      </c>
      <c r="E25" s="1179">
        <v>3</v>
      </c>
      <c r="F25" s="1179">
        <v>6</v>
      </c>
      <c r="G25" s="1179">
        <v>18</v>
      </c>
      <c r="H25" s="1179">
        <v>27</v>
      </c>
      <c r="I25" s="1179">
        <v>18</v>
      </c>
      <c r="J25" s="1179">
        <v>0</v>
      </c>
      <c r="K25" s="1179">
        <v>0</v>
      </c>
      <c r="L25" s="1179">
        <v>0</v>
      </c>
      <c r="M25" s="1179">
        <v>0</v>
      </c>
      <c r="N25" s="1179">
        <v>0</v>
      </c>
      <c r="O25" s="1179">
        <v>0</v>
      </c>
      <c r="P25" s="1179">
        <v>0</v>
      </c>
      <c r="Q25" s="1179">
        <v>0</v>
      </c>
      <c r="R25" s="1179">
        <v>0</v>
      </c>
      <c r="S25" s="1179">
        <v>0</v>
      </c>
      <c r="T25" s="1179">
        <v>0</v>
      </c>
      <c r="U25" s="1179">
        <v>0</v>
      </c>
      <c r="V25" s="1179">
        <v>0</v>
      </c>
      <c r="W25" s="1179">
        <v>0</v>
      </c>
      <c r="X25" s="1179">
        <v>0</v>
      </c>
      <c r="Y25" s="1179">
        <v>0</v>
      </c>
      <c r="Z25" s="1179">
        <v>0</v>
      </c>
      <c r="AA25" s="1179">
        <v>0</v>
      </c>
      <c r="AB25" s="1179">
        <v>0</v>
      </c>
      <c r="AC25" s="1179">
        <v>0</v>
      </c>
      <c r="AD25" s="1179">
        <v>0</v>
      </c>
      <c r="AE25" s="1179">
        <v>0</v>
      </c>
      <c r="AF25" s="1179">
        <v>0</v>
      </c>
      <c r="AG25" s="1179">
        <v>0</v>
      </c>
      <c r="AH25" s="1179">
        <v>0</v>
      </c>
      <c r="AI25" s="1179">
        <v>0</v>
      </c>
      <c r="AJ25" s="1179">
        <v>0</v>
      </c>
      <c r="AK25" s="1179">
        <v>0</v>
      </c>
      <c r="AL25" s="1179">
        <v>0</v>
      </c>
      <c r="AM25" s="1179">
        <v>0</v>
      </c>
      <c r="AN25" s="1179">
        <v>0</v>
      </c>
      <c r="AO25" s="1179">
        <v>0</v>
      </c>
      <c r="AP25" s="1179">
        <v>0</v>
      </c>
      <c r="AQ25" s="1179">
        <v>0</v>
      </c>
      <c r="AR25" s="1179">
        <v>0</v>
      </c>
      <c r="AS25" s="1179">
        <v>0</v>
      </c>
      <c r="AT25" s="1179">
        <v>0</v>
      </c>
      <c r="AU25" s="1179">
        <v>0</v>
      </c>
      <c r="AV25" s="1179">
        <v>0</v>
      </c>
      <c r="AW25" s="1179">
        <v>0</v>
      </c>
      <c r="AX25" s="1179">
        <v>0</v>
      </c>
      <c r="AY25" s="1179">
        <v>0</v>
      </c>
      <c r="AZ25" s="1179">
        <v>0</v>
      </c>
      <c r="BA25" s="1179">
        <v>0</v>
      </c>
      <c r="BB25" s="1179">
        <v>0</v>
      </c>
      <c r="BC25" s="1179">
        <v>0</v>
      </c>
      <c r="BD25" s="1179">
        <v>0</v>
      </c>
      <c r="BE25" s="1179">
        <v>0</v>
      </c>
      <c r="BF25" s="1179">
        <v>0</v>
      </c>
      <c r="BG25" s="1179">
        <v>0</v>
      </c>
      <c r="BH25" s="1179">
        <v>0</v>
      </c>
      <c r="BI25" s="1179">
        <v>0</v>
      </c>
      <c r="BJ25" s="1179">
        <v>0</v>
      </c>
      <c r="BK25" s="1179">
        <v>0</v>
      </c>
      <c r="BL25" s="1179">
        <v>0</v>
      </c>
      <c r="BM25" s="1179">
        <v>0</v>
      </c>
      <c r="BN25" s="1179">
        <v>0</v>
      </c>
      <c r="BO25" s="1179">
        <v>0</v>
      </c>
      <c r="BP25" s="1179">
        <v>0</v>
      </c>
      <c r="BQ25" s="1179">
        <v>0</v>
      </c>
      <c r="BR25" s="1179">
        <v>0</v>
      </c>
      <c r="BS25" s="1179">
        <v>0</v>
      </c>
      <c r="BT25" s="1179">
        <v>0</v>
      </c>
      <c r="BU25" s="1179">
        <v>0</v>
      </c>
      <c r="BV25" s="1179">
        <v>0</v>
      </c>
      <c r="BW25" s="1179">
        <v>0</v>
      </c>
      <c r="BX25" s="1179">
        <v>0</v>
      </c>
      <c r="BY25" s="1179">
        <v>0</v>
      </c>
      <c r="BZ25" s="1179">
        <v>0</v>
      </c>
      <c r="CA25" s="1179">
        <v>0</v>
      </c>
      <c r="CB25" s="1179">
        <v>0</v>
      </c>
      <c r="CC25" s="1179">
        <v>0</v>
      </c>
      <c r="CD25" s="1179">
        <v>0</v>
      </c>
      <c r="CE25" s="1179">
        <v>0</v>
      </c>
      <c r="CF25" s="1179">
        <v>0</v>
      </c>
      <c r="CG25" s="1179">
        <v>0</v>
      </c>
      <c r="CH25" s="1179">
        <v>0</v>
      </c>
      <c r="CI25" s="1179">
        <v>0</v>
      </c>
      <c r="CJ25" s="1179">
        <v>0</v>
      </c>
      <c r="CK25" s="1179">
        <v>0</v>
      </c>
      <c r="CL25" s="1179">
        <v>0</v>
      </c>
      <c r="CM25" s="1179">
        <v>0</v>
      </c>
      <c r="CN25" s="1179">
        <v>0</v>
      </c>
      <c r="CO25" s="1179">
        <v>0</v>
      </c>
      <c r="CP25" s="1179">
        <v>0</v>
      </c>
      <c r="CQ25" s="1179">
        <v>0</v>
      </c>
      <c r="CR25" s="1179">
        <v>0</v>
      </c>
      <c r="CS25" s="1179">
        <v>0</v>
      </c>
      <c r="CT25" s="1179">
        <v>0</v>
      </c>
      <c r="CU25" s="1179">
        <v>0</v>
      </c>
      <c r="CV25" s="1179">
        <v>0</v>
      </c>
      <c r="CW25" s="1179">
        <v>0</v>
      </c>
      <c r="CX25" s="1179">
        <v>0</v>
      </c>
      <c r="CY25" s="1179">
        <v>0</v>
      </c>
      <c r="CZ25" s="1179">
        <v>0</v>
      </c>
      <c r="DA25" s="1179">
        <v>0</v>
      </c>
      <c r="DB25" s="1179">
        <v>0</v>
      </c>
      <c r="DC25" s="1179">
        <v>0</v>
      </c>
      <c r="DD25" s="1179">
        <v>0</v>
      </c>
      <c r="DE25" s="1179">
        <v>0</v>
      </c>
      <c r="DF25" s="1179">
        <v>0</v>
      </c>
      <c r="DG25" s="1179">
        <v>0</v>
      </c>
      <c r="DH25" s="1179">
        <v>0</v>
      </c>
      <c r="DI25" s="1179">
        <v>0</v>
      </c>
      <c r="DJ25" s="1179">
        <v>0</v>
      </c>
      <c r="DK25" s="1179">
        <v>0</v>
      </c>
      <c r="DL25" s="1179">
        <v>0</v>
      </c>
      <c r="DM25" s="1179">
        <v>0</v>
      </c>
      <c r="DN25" s="1179">
        <v>0</v>
      </c>
      <c r="DO25" s="1179">
        <v>0</v>
      </c>
      <c r="DP25" s="1179">
        <v>0</v>
      </c>
      <c r="DQ25" s="1179">
        <v>0</v>
      </c>
      <c r="DR25" s="1179">
        <v>0</v>
      </c>
      <c r="DS25" s="1179">
        <v>0</v>
      </c>
      <c r="DT25" s="1179">
        <v>0</v>
      </c>
      <c r="DU25" s="1179">
        <v>0</v>
      </c>
      <c r="DV25" s="1179">
        <v>0</v>
      </c>
      <c r="DW25" s="1179">
        <v>0</v>
      </c>
      <c r="DX25" s="1179">
        <v>0</v>
      </c>
      <c r="DY25" s="1179">
        <v>0</v>
      </c>
      <c r="DZ25" s="1179">
        <v>0</v>
      </c>
      <c r="EA25" s="1179">
        <v>0</v>
      </c>
      <c r="EB25" s="1179">
        <v>0</v>
      </c>
      <c r="EC25" s="1179">
        <v>0</v>
      </c>
      <c r="ED25" s="1179">
        <v>0</v>
      </c>
      <c r="EE25" s="1179">
        <v>0</v>
      </c>
      <c r="EF25" s="1179">
        <v>0</v>
      </c>
      <c r="EG25" s="1179">
        <v>0</v>
      </c>
      <c r="EH25" s="1179">
        <v>0</v>
      </c>
      <c r="EI25" s="1179">
        <v>0</v>
      </c>
      <c r="EJ25" s="1179">
        <v>0</v>
      </c>
      <c r="EK25" s="1179">
        <v>0</v>
      </c>
      <c r="EL25" s="1179">
        <v>0</v>
      </c>
      <c r="EM25" s="1179">
        <v>0</v>
      </c>
      <c r="EN25" s="1179">
        <v>0</v>
      </c>
      <c r="EO25" s="1179">
        <v>0</v>
      </c>
      <c r="EP25" s="1179">
        <v>0</v>
      </c>
      <c r="EQ25" s="1179">
        <v>0</v>
      </c>
      <c r="ER25" s="1179">
        <v>0</v>
      </c>
      <c r="ES25" s="1179">
        <v>0</v>
      </c>
      <c r="ET25" s="1179">
        <v>0</v>
      </c>
      <c r="EU25" s="1179">
        <v>0</v>
      </c>
      <c r="EV25" s="1179">
        <v>0</v>
      </c>
      <c r="EW25" s="1179">
        <v>0</v>
      </c>
      <c r="EX25" s="1179">
        <v>0</v>
      </c>
      <c r="EY25" s="1179">
        <v>0</v>
      </c>
      <c r="EZ25" s="1179">
        <v>0</v>
      </c>
      <c r="FA25" s="1179">
        <v>0</v>
      </c>
      <c r="FB25" s="1179">
        <v>0</v>
      </c>
      <c r="FC25" s="1179">
        <v>0</v>
      </c>
      <c r="FD25" s="1179">
        <v>0</v>
      </c>
      <c r="FE25" s="1179">
        <v>0</v>
      </c>
      <c r="FF25" s="1179">
        <v>0</v>
      </c>
      <c r="FG25" s="1179">
        <v>0</v>
      </c>
      <c r="FH25" s="1179">
        <v>0</v>
      </c>
      <c r="FI25" s="1179">
        <v>0</v>
      </c>
      <c r="FJ25" s="1179">
        <v>0</v>
      </c>
      <c r="FK25" s="1179">
        <v>0</v>
      </c>
      <c r="FL25" s="1179">
        <v>0</v>
      </c>
      <c r="FM25" s="1179">
        <v>0</v>
      </c>
      <c r="FN25" s="1179">
        <v>0</v>
      </c>
      <c r="FO25" s="1179">
        <v>0</v>
      </c>
      <c r="FP25" s="1179">
        <v>0</v>
      </c>
      <c r="FQ25" s="1179">
        <v>0</v>
      </c>
      <c r="FR25" s="1179">
        <v>0</v>
      </c>
      <c r="FS25" s="1179">
        <v>0</v>
      </c>
      <c r="FT25" s="1179">
        <v>0</v>
      </c>
      <c r="FU25" s="1179">
        <v>0</v>
      </c>
      <c r="FV25" s="1179">
        <v>0</v>
      </c>
      <c r="FW25" s="1179">
        <v>0</v>
      </c>
      <c r="FX25" s="1179">
        <v>8</v>
      </c>
      <c r="FY25" s="1179">
        <v>8</v>
      </c>
      <c r="FZ25" s="1179">
        <v>8</v>
      </c>
      <c r="GA25" s="1179">
        <v>8</v>
      </c>
      <c r="GB25" s="1179">
        <v>8</v>
      </c>
      <c r="GC25" s="117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E2E8A-D3ED-D716-AC04-7AC278E90186}" mc:Ignorable="x14ac xr xr2 xr3">
  <sheetPr>
    <tabColor theme="2" tint="-0.1"/>
  </sheetPr>
  <dimension ref="A1:AA23"/>
  <sheetViews>
    <sheetView topLeftCell="A1" showGridLines="0" zoomScale="90" workbookViewId="0">
      <selection activeCell="P8" sqref="P8"/>
    </sheetView>
  </sheetViews>
  <sheetFormatPr defaultColWidth="10.57421875" customHeight="1" defaultRowHeight="15"/>
  <cols>
    <col min="1" max="2" style="7348" width="9.140625" hidden="1" customWidth="1"/>
    <col min="3" max="3" style="7348" width="4.00390625" customWidth="1"/>
    <col min="4" max="4" style="7348" width="6.00390625" customWidth="1"/>
    <col min="5" max="5" style="7348" width="36.00390625" customWidth="1"/>
    <col min="6" max="6" style="7348" width="9.00390625" customWidth="1"/>
    <col min="7" max="7" style="7348" width="42.421875" hidden="1" customWidth="1"/>
    <col min="8" max="8" style="7348" width="40.7109375" customWidth="1"/>
    <col min="9" max="16" style="7348" width="42.421875" customWidth="1"/>
    <col min="17" max="17" style="7348" width="93.00390625" customWidth="1"/>
    <col min="18" max="26" style="7348" width="10.00390625" customWidth="1"/>
    <col min="27" max="27" style="7348" width="10.57421875" hidden="1"/>
  </cols>
  <sheetData>
    <row customHeight="1" ht="15" hidden="1">
      <c r="H1" s="3449">
        <v>4</v>
      </c>
      <c r="AA1" s="3449" t="s">
        <v>14</v>
      </c>
    </row>
    <row customHeight="1" ht="22.5" hidden="1">
      <c r="C2" s="3693" t="s">
        <v>119</v>
      </c>
      <c r="D2" s="204"/>
      <c r="E2" s="413"/>
      <c r="F2" s="3480" t="str">
        <f>IF(TEMPLATE_SPHERE="HEAT","Гкал/час","тыс. куб. м/сутки")</f>
        <v>тыс. куб. м/сутки</v>
      </c>
      <c r="G2" s="1013"/>
      <c r="H2" s="1013"/>
      <c r="I2" s="1013"/>
      <c r="J2" s="1013"/>
      <c r="K2" s="1013"/>
      <c r="L2" s="1013"/>
      <c r="M2" s="1013"/>
      <c r="N2" s="1013"/>
      <c r="O2" s="1013"/>
      <c r="P2" s="1013"/>
      <c r="Q2" s="3764"/>
      <c r="AA2" s="3432">
        <v>0</v>
      </c>
    </row>
    <row customHeight="1" ht="15" hidden="1">
      <c r="AA3" s="3449">
        <v>0</v>
      </c>
    </row>
    <row customHeight="1" ht="15.75">
      <c r="AA4" s="3432">
        <v>15</v>
      </c>
    </row>
    <row customHeight="1" ht="39.75">
      <c r="D5" s="364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3646"/>
      <c r="F5" s="3646"/>
      <c r="G5" s="3646"/>
      <c r="H5" s="3646"/>
      <c r="I5" s="3646"/>
      <c r="J5" s="3646"/>
      <c r="K5" s="3646"/>
      <c r="L5" s="3646"/>
      <c r="M5" s="3646"/>
      <c r="N5" s="3646"/>
      <c r="O5" s="3646"/>
      <c r="P5" s="3646"/>
      <c r="AA5" s="3432">
        <v>38</v>
      </c>
    </row>
    <row customHeight="1" ht="15.75">
      <c r="D6" s="3554" t="str">
        <f>IF(org=0,"Не определено",org)</f>
        <v>ООО "ТеплоЭлектроГенерирующая Компания"</v>
      </c>
      <c r="E6" s="3554"/>
      <c r="F6" s="3554"/>
      <c r="G6" s="3554"/>
      <c r="H6" s="3554"/>
      <c r="I6" s="3554"/>
      <c r="J6" s="3554"/>
      <c r="K6" s="3554"/>
      <c r="L6" s="3554"/>
      <c r="M6" s="3554"/>
      <c r="N6" s="3554"/>
      <c r="O6" s="3554"/>
      <c r="P6" s="3554"/>
      <c r="AA6" s="3432">
        <v>15</v>
      </c>
    </row>
    <row customHeight="1" ht="15.75">
      <c r="H7" s="3575"/>
      <c r="I7" s="3399" t="s">
        <v>22</v>
      </c>
      <c r="J7" s="3399" t="s">
        <v>22</v>
      </c>
      <c r="K7" s="3399" t="s">
        <v>22</v>
      </c>
      <c r="L7" s="3399" t="s">
        <v>22</v>
      </c>
      <c r="M7" s="3399" t="s">
        <v>22</v>
      </c>
      <c r="N7" s="3399" t="s">
        <v>22</v>
      </c>
      <c r="O7" s="3399" t="s">
        <v>22</v>
      </c>
      <c r="P7" s="3399" t="s">
        <v>22</v>
      </c>
      <c r="AA7" s="3432">
        <v>15</v>
      </c>
    </row>
    <row customHeight="1" ht="1.05">
      <c r="H8" s="3449" t="s">
        <v>116</v>
      </c>
      <c r="I8" s="3432" t="s">
        <v>121</v>
      </c>
      <c r="J8" s="3432" t="s">
        <v>123</v>
      </c>
      <c r="K8" s="3432" t="s">
        <v>125</v>
      </c>
      <c r="L8" s="3432" t="s">
        <v>127</v>
      </c>
      <c r="M8" s="3432" t="s">
        <v>129</v>
      </c>
      <c r="N8" s="3432" t="s">
        <v>131</v>
      </c>
      <c r="O8" s="3432" t="s">
        <v>133</v>
      </c>
      <c r="P8" s="3432" t="s">
        <v>136</v>
      </c>
      <c r="AA8" s="3432">
        <v>1</v>
      </c>
    </row>
    <row customHeight="1" ht="15.75">
      <c r="D9" s="3924"/>
      <c r="E9" s="3925" t="s">
        <v>103</v>
      </c>
      <c r="F9" s="3926"/>
      <c r="G9" s="3927" t="str">
        <f>IF(G8="","",INDEX(DIFFERENTIATION_UNMERGE_VD,MATCH(G8,DIFFERENTIATION_ID_DIFF,0)))</f>
        <v/>
      </c>
      <c r="H9" s="3927" t="str">
        <f>IF(H8="","",INDEX(DIFFERENTIATION_UNMERGE_VD,MATCH(H8,DIFFERENTIATION_ID_DIFF,0)))</f>
        <v>Горячее водоснабжение</v>
      </c>
      <c r="I9" s="3927" t="str">
        <f>IF(I8="","",INDEX(DIFFERENTIATION_UNMERGE_VD,MATCH(I8,DIFFERENTIATION_ID_DIFF,0)))</f>
        <v>Горячее водоснабжение</v>
      </c>
      <c r="J9" s="3927" t="str">
        <f>IF(J8="","",INDEX(DIFFERENTIATION_UNMERGE_VD,MATCH(J8,DIFFERENTIATION_ID_DIFF,0)))</f>
        <v>Горячее водоснабжение</v>
      </c>
      <c r="K9" s="3927" t="str">
        <f>IF(K8="","",INDEX(DIFFERENTIATION_UNMERGE_VD,MATCH(K8,DIFFERENTIATION_ID_DIFF,0)))</f>
        <v>Горячее водоснабжение</v>
      </c>
      <c r="L9" s="3927" t="str">
        <f>IF(L8="","",INDEX(DIFFERENTIATION_UNMERGE_VD,MATCH(L8,DIFFERENTIATION_ID_DIFF,0)))</f>
        <v>Горячее водоснабжение</v>
      </c>
      <c r="M9" s="3927" t="str">
        <f>IF(M8="","",INDEX(DIFFERENTIATION_UNMERGE_VD,MATCH(M8,DIFFERENTIATION_ID_DIFF,0)))</f>
        <v>Горячее водоснабжение</v>
      </c>
      <c r="N9" s="3927" t="str">
        <f>IF(N8="","",INDEX(DIFFERENTIATION_UNMERGE_VD,MATCH(N8,DIFFERENTIATION_ID_DIFF,0)))</f>
        <v>Горячее водоснабжение</v>
      </c>
      <c r="O9" s="3927" t="str">
        <f>IF(O8="","",INDEX(DIFFERENTIATION_UNMERGE_VD,MATCH(O8,DIFFERENTIATION_ID_DIFF,0)))</f>
        <v>Горячее водоснабжение</v>
      </c>
      <c r="P9" s="3927" t="str">
        <f>IF(P8="","",INDEX(DIFFERENTIATION_UNMERGE_VD,MATCH(P8,DIFFERENTIATION_ID_DIFF,0)))</f>
        <v>Горячее водоснабжение</v>
      </c>
      <c r="Q9" s="3480" t="s">
        <v>316</v>
      </c>
      <c r="AA9" s="3432">
        <v>15</v>
      </c>
    </row>
    <row customHeight="1" ht="15.75">
      <c r="D10" s="3924"/>
      <c r="E10" s="3925" t="s">
        <v>579</v>
      </c>
      <c r="F10" s="3926"/>
      <c r="G10" s="3927" t="str">
        <f>IF(G8="","",INDEX(DIFFERENTIATION_UNMERGE_AREA,MATCH(G8,DIFFERENTIATION_ID_DIFF,0)))</f>
        <v/>
      </c>
      <c r="H10" s="3927" t="str">
        <f>IF(H8="","",INDEX(DIFFERENTIATION_UNMERGE_AREA,MATCH(H8,DIFFERENTIATION_ID_DIFF,0)))</f>
        <v>Территория 1</v>
      </c>
      <c r="I10" s="3927" t="str">
        <f>IF(I8="","",INDEX(DIFFERENTIATION_UNMERGE_AREA,MATCH(I8,DIFFERENTIATION_ID_DIFF,0)))</f>
        <v>Территория 1</v>
      </c>
      <c r="J10" s="3927" t="str">
        <f>IF(J8="","",INDEX(DIFFERENTIATION_UNMERGE_AREA,MATCH(J8,DIFFERENTIATION_ID_DIFF,0)))</f>
        <v>Территория 1</v>
      </c>
      <c r="K10" s="3927" t="str">
        <f>IF(K8="","",INDEX(DIFFERENTIATION_UNMERGE_AREA,MATCH(K8,DIFFERENTIATION_ID_DIFF,0)))</f>
        <v>Территория 1</v>
      </c>
      <c r="L10" s="3927" t="str">
        <f>IF(L8="","",INDEX(DIFFERENTIATION_UNMERGE_AREA,MATCH(L8,DIFFERENTIATION_ID_DIFF,0)))</f>
        <v>Территория 1</v>
      </c>
      <c r="M10" s="3927" t="str">
        <f>IF(M8="","",INDEX(DIFFERENTIATION_UNMERGE_AREA,MATCH(M8,DIFFERENTIATION_ID_DIFF,0)))</f>
        <v>Территория 1</v>
      </c>
      <c r="N10" s="3927" t="str">
        <f>IF(N8="","",INDEX(DIFFERENTIATION_UNMERGE_AREA,MATCH(N8,DIFFERENTIATION_ID_DIFF,0)))</f>
        <v>Территория 1</v>
      </c>
      <c r="O10" s="3927" t="str">
        <f>IF(O8="","",INDEX(DIFFERENTIATION_UNMERGE_AREA,MATCH(O8,DIFFERENTIATION_ID_DIFF,0)))</f>
        <v>Территория 1</v>
      </c>
      <c r="P10" s="3927" t="str">
        <f>IF(P8="","",INDEX(DIFFERENTIATION_UNMERGE_AREA,MATCH(P8,DIFFERENTIATION_ID_DIFF,0)))</f>
        <v>Территория 1</v>
      </c>
      <c r="Q10" s="3480"/>
      <c r="AA10" s="3432">
        <v>15</v>
      </c>
    </row>
    <row customHeight="1" ht="15.75">
      <c r="D11" s="3924"/>
      <c r="E11" s="3925" t="s">
        <v>580</v>
      </c>
      <c r="F11" s="3926"/>
      <c r="G11" s="3927" t="str">
        <f>IF(G8="","",INDEX(DIFFERENTIATION_UNMERGE_SYSTEM,MATCH(G8,DIFFERENTIATION_ID_DIFF,0)))</f>
        <v/>
      </c>
      <c r="H11" s="3927" t="str">
        <f>IF(H8="","",INDEX(DIFFERENTIATION_UNMERGE_SYSTEM,MATCH(H8,DIFFERENTIATION_ID_DIFF,0)))</f>
        <v>г. Саратов, ул.Деловая, 22, п. Юбилейный
</v>
      </c>
      <c r="I11" s="3927" t="str">
        <f>IF(I8="","",INDEX(DIFFERENTIATION_UNMERGE_SYSTEM,MATCH(I8,DIFFERENTIATION_ID_DIFF,0)))</f>
        <v>г. Саратов, ул. Вавилова,8/26 А
</v>
      </c>
      <c r="J11" s="3927" t="str">
        <f>IF(J8="","",INDEX(DIFFERENTIATION_UNMERGE_SYSTEM,MATCH(J8,DIFFERENTIATION_ID_DIFF,0)))</f>
        <v>г. Саратов, пр. 50 лет Октября, 60, 74, 108, ЦТП Волочаевский пр., 5, ЦТП Соколовая, 145/153
</v>
      </c>
      <c r="K11" s="3927" t="str">
        <f>IF(K8="","",INDEX(DIFFERENTIATION_UNMERGE_SYSTEM,MATCH(K8,DIFFERENTIATION_ID_DIFF,0)))</f>
        <v>г. Саратов, ул. Шелковичная, 186, ул. Шелковичная, 178, ул. Шелковичная, 155/161, ул. 2-я Садовая, 106 б.
</v>
      </c>
      <c r="L11" s="3927" t="str">
        <f>IF(L8="","",INDEX(DIFFERENTIATION_UNMERGE_SYSTEM,MATCH(L8,DIFFERENTIATION_ID_DIFF,0)))</f>
        <v>г. Саратов, ул. Ломоносова, 1
</v>
      </c>
      <c r="M11" s="3927" t="str">
        <f>IF(M8="","",INDEX(DIFFERENTIATION_UNMERGE_SYSTEM,MATCH(M8,DIFFERENTIATION_ID_DIFF,0)))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N11" s="3927" t="str">
        <f>IF(N8="","",INDEX(DIFFERENTIATION_UNMERGE_SYSTEM,MATCH(N8,DIFFERENTIATION_ID_DIFF,0)))</f>
        <v>г. Саратов, ул. Огородная, 77
</v>
      </c>
      <c r="O11" s="3927" t="str">
        <f>IF(O8="","",INDEX(DIFFERENTIATION_UNMERGE_SYSTEM,MATCH(O8,DIFFERENTIATION_ID_DIFF,0)))</f>
        <v>г. Саратов, ул. Танкистов, 89
</v>
      </c>
      <c r="P11" s="3927" t="str">
        <f>IF(P8="","",INDEX(DIFFERENTIATION_UNMERGE_SYSTEM,MATCH(P8,DIFFERENTIATION_ID_DIFF,0)))</f>
        <v>г. Саратов, ул. Политехническая, 47
</v>
      </c>
      <c r="Q11" s="3480"/>
      <c r="AA11" s="3432">
        <v>15</v>
      </c>
    </row>
    <row customHeight="1" ht="15.75">
      <c r="D12" s="3929" t="s">
        <v>315</v>
      </c>
      <c r="E12" s="3930"/>
      <c r="F12" s="3930"/>
      <c r="G12" s="3925"/>
      <c r="H12" s="3925"/>
      <c r="I12" s="3925"/>
      <c r="J12" s="3925"/>
      <c r="K12" s="3925"/>
      <c r="L12" s="3925"/>
      <c r="M12" s="3925"/>
      <c r="N12" s="3925"/>
      <c r="O12" s="3925"/>
      <c r="P12" s="3925"/>
      <c r="Q12" s="3480"/>
      <c r="AA12" s="3432">
        <v>15</v>
      </c>
    </row>
    <row customHeight="1" ht="35.699999999999996">
      <c r="D13" s="3480" t="s">
        <v>86</v>
      </c>
      <c r="E13" s="3480" t="s">
        <v>317</v>
      </c>
      <c r="F13" s="3480" t="s">
        <v>581</v>
      </c>
      <c r="G13" s="3437" t="s">
        <v>318</v>
      </c>
      <c r="H13" s="3437" t="s">
        <v>318</v>
      </c>
      <c r="I13" s="3437" t="s">
        <v>318</v>
      </c>
      <c r="J13" s="3437" t="s">
        <v>318</v>
      </c>
      <c r="K13" s="3437" t="s">
        <v>318</v>
      </c>
      <c r="L13" s="3437" t="s">
        <v>318</v>
      </c>
      <c r="M13" s="3437" t="s">
        <v>318</v>
      </c>
      <c r="N13" s="3437" t="s">
        <v>318</v>
      </c>
      <c r="O13" s="3437" t="s">
        <v>318</v>
      </c>
      <c r="P13" s="3437" t="s">
        <v>318</v>
      </c>
      <c r="Q13" s="3480"/>
      <c r="AA13" s="3432">
        <v>34</v>
      </c>
    </row>
    <row customHeight="1" ht="15" hidden="1">
      <c r="D14" s="1009" t="s">
        <v>107</v>
      </c>
      <c r="E14" s="1009" t="s">
        <v>108</v>
      </c>
      <c r="F14" s="1009" t="s">
        <v>88</v>
      </c>
      <c r="G14" s="3693" t="str">
        <f>G1&amp;".1"</f>
        <v>.1</v>
      </c>
      <c r="H14" s="3693" t="str">
        <f>H1&amp;".1"</f>
        <v>4.1</v>
      </c>
      <c r="I14" s="3693" t="str">
        <f>I1&amp;".1"</f>
        <v>.1</v>
      </c>
      <c r="J14" s="3693" t="str">
        <f>J1&amp;".1"</f>
        <v>.1</v>
      </c>
      <c r="K14" s="3693" t="str">
        <f>K1&amp;".1"</f>
        <v>.1</v>
      </c>
      <c r="L14" s="3693" t="str">
        <f>L1&amp;".1"</f>
        <v>.1</v>
      </c>
      <c r="M14" s="3693" t="str">
        <f>M1&amp;".1"</f>
        <v>.1</v>
      </c>
      <c r="N14" s="3693" t="str">
        <f>N1&amp;".1"</f>
        <v>.1</v>
      </c>
      <c r="O14" s="3693" t="str">
        <f>O1&amp;".1"</f>
        <v>.1</v>
      </c>
      <c r="P14" s="3693" t="str">
        <f>P1&amp;".1"</f>
        <v>.1</v>
      </c>
      <c r="Q14" s="3764"/>
      <c r="AA14" s="3432">
        <v>0</v>
      </c>
    </row>
    <row customHeight="1" ht="15.75">
      <c r="D15" s="3480">
        <v>1</v>
      </c>
      <c r="E15" s="3529" t="str">
        <f>TP_P_A</f>
        <v>Количество поданных заявлений </v>
      </c>
      <c r="F15" s="3480" t="s">
        <v>1138</v>
      </c>
      <c r="G15" s="1017"/>
      <c r="H15" s="1017"/>
      <c r="I15" s="1017"/>
      <c r="J15" s="1017"/>
      <c r="K15" s="1017"/>
      <c r="L15" s="1017"/>
      <c r="M15" s="1017"/>
      <c r="N15" s="1017"/>
      <c r="O15" s="1017"/>
      <c r="P15" s="1017"/>
      <c r="Q15" s="381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3432">
        <v>15</v>
      </c>
    </row>
    <row customHeight="1" ht="15.75">
      <c r="D16" s="3480">
        <v>2</v>
      </c>
      <c r="E16" s="3529" t="str">
        <f>TP_P_B</f>
        <v>Количество исполненных заявлений </v>
      </c>
      <c r="F16" s="3480" t="s">
        <v>1138</v>
      </c>
      <c r="G16" s="1017"/>
      <c r="H16" s="1017"/>
      <c r="I16" s="1017"/>
      <c r="J16" s="1017"/>
      <c r="K16" s="1017"/>
      <c r="L16" s="1017"/>
      <c r="M16" s="1017"/>
      <c r="N16" s="1017"/>
      <c r="O16" s="1017"/>
      <c r="P16" s="1017"/>
      <c r="Q16" s="38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3432">
        <v>15</v>
      </c>
    </row>
    <row customHeight="1" ht="77.7">
      <c r="D17" s="3480">
        <v>3</v>
      </c>
      <c r="E17" s="352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3480" t="s">
        <v>1138</v>
      </c>
      <c r="G17" s="1017"/>
      <c r="H17" s="1017"/>
      <c r="I17" s="1017"/>
      <c r="J17" s="1017"/>
      <c r="K17" s="1017"/>
      <c r="L17" s="1017"/>
      <c r="M17" s="1017"/>
      <c r="N17" s="1017"/>
      <c r="O17" s="1017"/>
      <c r="P17" s="1017"/>
      <c r="Q17" s="381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3432">
        <v>74</v>
      </c>
    </row>
    <row customHeight="1" ht="54.75">
      <c r="D18" s="3480">
        <v>4</v>
      </c>
      <c r="E18" s="3529" t="str">
        <f>TP_P_V_1</f>
        <v>Причины отказа в заключении договора о подключении (технологическом присоединении) к централизованной системе горячего водоснабжения</v>
      </c>
      <c r="F18" s="3480" t="s">
        <v>321</v>
      </c>
      <c r="G18" s="1018"/>
      <c r="H18" s="1018"/>
      <c r="I18" s="1018"/>
      <c r="J18" s="1018"/>
      <c r="K18" s="1018"/>
      <c r="L18" s="1018"/>
      <c r="M18" s="1018"/>
      <c r="N18" s="1018"/>
      <c r="O18" s="1018"/>
      <c r="P18" s="1018"/>
      <c r="Q18" s="352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3432">
        <v>52</v>
      </c>
    </row>
    <row customHeight="1" ht="60">
      <c r="D19" s="3480">
        <v>5</v>
      </c>
      <c r="E19" s="352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480" t="str">
        <f>IF(TEMPLATE_SPHERE="HEAT","Гкал/час","тыс. куб. м/сутки")</f>
        <v>тыс. куб. м/сутки</v>
      </c>
      <c r="G19" s="1019">
        <f>SUM(G20:G22)</f>
        <v>0</v>
      </c>
      <c r="H19" s="1019">
        <f>SUM(H20:H22)</f>
        <v>0</v>
      </c>
      <c r="I19" s="1019">
        <f>SUM(I20:I22)</f>
        <v>0</v>
      </c>
      <c r="J19" s="1019">
        <f>SUM(J20:J22)</f>
        <v>0</v>
      </c>
      <c r="K19" s="1019">
        <f>SUM(K20:K22)</f>
        <v>0</v>
      </c>
      <c r="L19" s="1019">
        <f>SUM(L20:L22)</f>
        <v>0</v>
      </c>
      <c r="M19" s="1019">
        <f>SUM(M20:M22)</f>
        <v>0</v>
      </c>
      <c r="N19" s="1019">
        <f>SUM(N20:N22)</f>
        <v>0</v>
      </c>
      <c r="O19" s="1019">
        <f>SUM(O20:O22)</f>
        <v>0</v>
      </c>
      <c r="P19" s="1019">
        <f>SUM(P20:P22)</f>
        <v>0</v>
      </c>
      <c r="Q19" s="381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3432">
        <v>57</v>
      </c>
    </row>
    <row customHeight="1" ht="15" hidden="1">
      <c r="D20" s="3432" t="s">
        <v>1139</v>
      </c>
      <c r="Q20" s="3933"/>
      <c r="AA20" s="3432">
        <v>0</v>
      </c>
    </row>
    <row customHeight="1" ht="29.25">
      <c r="D21" s="204" t="s">
        <v>328</v>
      </c>
      <c r="E21" s="107"/>
      <c r="F21" s="3480" t="str">
        <f>IF(TEMPLATE_SPHERE="HEAT","Гкал/час","тыс. куб. м/сутки")</f>
        <v>тыс. куб. м/сутки</v>
      </c>
      <c r="G21" s="1013"/>
      <c r="H21" s="1013"/>
      <c r="I21" s="1013"/>
      <c r="J21" s="1013"/>
      <c r="K21" s="1013"/>
      <c r="L21" s="1013"/>
      <c r="M21" s="1013"/>
      <c r="N21" s="1013"/>
      <c r="O21" s="1013"/>
      <c r="P21" s="1013"/>
      <c r="Q21" s="354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3432">
        <v>28</v>
      </c>
    </row>
    <row customHeight="1" ht="15.75">
      <c r="D22" s="3726"/>
      <c r="E22" s="167" t="s">
        <v>1140</v>
      </c>
      <c r="F22" s="3727"/>
      <c r="G22" s="3727"/>
      <c r="H22" s="3727"/>
      <c r="I22" s="3727"/>
      <c r="J22" s="3727"/>
      <c r="K22" s="3727"/>
      <c r="L22" s="3727"/>
      <c r="M22" s="3727"/>
      <c r="N22" s="3727"/>
      <c r="O22" s="3727"/>
      <c r="P22" s="3727"/>
      <c r="Q22" s="3550"/>
      <c r="AA22" s="3432">
        <v>15</v>
      </c>
    </row>
    <row customHeight="1" ht="22.5" hidden="1">
      <c r="A23" s="3430" t="s">
        <v>80</v>
      </c>
      <c r="B23" s="3432">
        <v>0</v>
      </c>
      <c r="C23" s="3693">
        <v>4</v>
      </c>
      <c r="D23" s="3432">
        <v>6</v>
      </c>
      <c r="E23" s="3432">
        <v>36</v>
      </c>
      <c r="F23" s="3432">
        <v>9</v>
      </c>
      <c r="G23" s="3432">
        <v>0</v>
      </c>
      <c r="H23" s="3432">
        <v>40</v>
      </c>
      <c r="I23" s="3432">
        <v>0</v>
      </c>
      <c r="J23" s="3432">
        <v>0</v>
      </c>
      <c r="K23" s="3432">
        <v>0</v>
      </c>
      <c r="L23" s="3432">
        <v>0</v>
      </c>
      <c r="M23" s="3432">
        <v>0</v>
      </c>
      <c r="N23" s="3432">
        <v>0</v>
      </c>
      <c r="O23" s="3432">
        <v>0</v>
      </c>
      <c r="P23" s="3432">
        <v>0</v>
      </c>
      <c r="Q23" s="3449">
        <v>93</v>
      </c>
      <c r="R23" s="3432">
        <v>10</v>
      </c>
      <c r="S23" s="3432">
        <v>10</v>
      </c>
      <c r="T23" s="3432">
        <v>10</v>
      </c>
      <c r="U23" s="3432">
        <v>10</v>
      </c>
      <c r="V23" s="3432">
        <v>10</v>
      </c>
      <c r="W23" s="3432">
        <v>10</v>
      </c>
      <c r="X23" s="3432">
        <v>10</v>
      </c>
      <c r="Y23" s="3432">
        <v>10</v>
      </c>
      <c r="Z23" s="3932">
        <v>10</v>
      </c>
      <c r="AA23" s="3432">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EAA25-D275-062A-5E34-8A3DD2F7BCB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2" style="7348" width="9.140625" hidden="1" customWidth="1"/>
    <col min="3" max="3" style="7348" width="3.00390625" customWidth="1"/>
    <col min="4" max="4" style="7348" width="6.00390625" customWidth="1"/>
    <col min="5" max="6" style="7348" width="64.00390625" customWidth="1"/>
    <col min="7" max="7" style="7348" width="140.00390625" customWidth="1"/>
    <col min="8" max="16" style="7348" width="10.00390625" customWidth="1"/>
    <col min="17" max="17" style="7348" width="10.57421875" hidden="1"/>
  </cols>
  <sheetData>
    <row customHeight="1" ht="22.5" hidden="1">
      <c r="Q1" s="3432" t="s">
        <v>14</v>
      </c>
    </row>
    <row customHeight="1" ht="14.25" hidden="1">
      <c r="Q2" s="3432">
        <v>0</v>
      </c>
    </row>
    <row customHeight="1" ht="14.25" hidden="1">
      <c r="Q3" s="3432">
        <v>0</v>
      </c>
    </row>
    <row customHeight="1" ht="3">
      <c r="C4" s="3719"/>
      <c r="D4" s="3450"/>
      <c r="E4" s="3450"/>
      <c r="F4" s="3789"/>
      <c r="G4" s="3789"/>
      <c r="Q4" s="3432">
        <v>3</v>
      </c>
    </row>
    <row customHeight="1" ht="29.25">
      <c r="C5" s="3719"/>
      <c r="D5" s="3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3518"/>
      <c r="F5" s="3518"/>
      <c r="G5" s="3519"/>
      <c r="Q5" s="3432">
        <v>28</v>
      </c>
    </row>
    <row customHeight="1" ht="18.75">
      <c r="C6" s="3719"/>
      <c r="D6" s="3622" t="str">
        <f>IF(org=0,"Не определено",org)</f>
        <v>ООО "ТеплоЭлектроГенерирующая Компания"</v>
      </c>
      <c r="E6" s="3623"/>
      <c r="F6" s="3623"/>
      <c r="G6" s="3624"/>
      <c r="Q6" s="3432">
        <v>18</v>
      </c>
    </row>
    <row customHeight="1" ht="14.699999999999998">
      <c r="C7" s="3719"/>
      <c r="D7" s="3450"/>
      <c r="E7" s="3445"/>
      <c r="F7" s="3575"/>
      <c r="G7" s="3790"/>
      <c r="Q7" s="3432">
        <v>14</v>
      </c>
    </row>
    <row customHeight="1" ht="1.05">
      <c r="C8" s="3719"/>
      <c r="D8" s="3450"/>
      <c r="E8" s="3445"/>
      <c r="F8" s="3575"/>
      <c r="G8" s="3790"/>
      <c r="Q8" s="3432">
        <v>1</v>
      </c>
    </row>
    <row customHeight="1" ht="14.699999999999998">
      <c r="C9" s="3719"/>
      <c r="D9" s="3579" t="s">
        <v>315</v>
      </c>
      <c r="E9" s="3579"/>
      <c r="F9" s="3579"/>
      <c r="G9" s="3707" t="s">
        <v>316</v>
      </c>
      <c r="Q9" s="3432">
        <v>14</v>
      </c>
    </row>
    <row customHeight="1" ht="24">
      <c r="C10" s="3719"/>
      <c r="D10" s="3579" t="s">
        <v>86</v>
      </c>
      <c r="E10" s="3525" t="s">
        <v>317</v>
      </c>
      <c r="F10" s="3525" t="s">
        <v>405</v>
      </c>
      <c r="G10" s="3707"/>
      <c r="Q10" s="3432">
        <v>23</v>
      </c>
    </row>
    <row customHeight="1" ht="12" hidden="1">
      <c r="C11" s="3719"/>
      <c r="D11" s="389"/>
      <c r="E11" s="389"/>
      <c r="F11" s="389"/>
      <c r="G11" s="389"/>
      <c r="Q11" s="3432">
        <v>0</v>
      </c>
    </row>
    <row customHeight="1" ht="65.25">
      <c r="C12" s="3719"/>
      <c r="D12" s="313">
        <v>1</v>
      </c>
      <c r="E12" s="37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525" t="s">
        <v>321</v>
      </c>
      <c r="G12" s="3764"/>
      <c r="Q12" s="3432">
        <v>62</v>
      </c>
    </row>
    <row customHeight="1" ht="24">
      <c r="C13" s="3719"/>
      <c r="D13" s="313" t="s">
        <v>1045</v>
      </c>
      <c r="E13" s="379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525" t="s">
        <v>321</v>
      </c>
      <c r="G13" s="3764"/>
      <c r="Q13" s="3432">
        <v>23</v>
      </c>
    </row>
    <row customHeight="1" ht="14.699999999999998">
      <c r="C14" s="3719"/>
      <c r="D14" s="313" t="s">
        <v>1081</v>
      </c>
      <c r="E14" s="3792"/>
      <c r="F14" s="431"/>
      <c r="G14" s="35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432">
        <v>14</v>
      </c>
    </row>
    <row customHeight="1" ht="15.75">
      <c r="C15" s="3719"/>
      <c r="D15" s="3726"/>
      <c r="E15" s="226" t="s">
        <v>1141</v>
      </c>
      <c r="F15" s="773"/>
      <c r="G15" s="3550"/>
      <c r="Q15" s="3432">
        <v>15</v>
      </c>
    </row>
    <row customHeight="1" ht="14.699999999999998">
      <c r="C16" s="3719"/>
      <c r="D16" s="313" t="s">
        <v>1047</v>
      </c>
      <c r="E16" s="379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525" t="s">
        <v>321</v>
      </c>
      <c r="G16" s="3793"/>
      <c r="Q16" s="3432">
        <v>14</v>
      </c>
    </row>
    <row customHeight="1" ht="14.699999999999998">
      <c r="C17" s="3719"/>
      <c r="D17" s="313" t="s">
        <v>1089</v>
      </c>
      <c r="E17" s="3792"/>
      <c r="F17" s="775"/>
      <c r="G17" s="35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432">
        <v>14</v>
      </c>
    </row>
    <row customHeight="1" ht="22.049999999999997">
      <c r="C18" s="3719"/>
      <c r="D18" s="3726"/>
      <c r="E18" s="226" t="s">
        <v>1142</v>
      </c>
      <c r="F18" s="776"/>
      <c r="G18" s="3550"/>
      <c r="Q18" s="3432">
        <v>21</v>
      </c>
    </row>
    <row customHeight="1" ht="256.5" hidden="1">
      <c r="C19" s="3719"/>
      <c r="D19" s="313" t="s">
        <v>1049</v>
      </c>
      <c r="E19" s="3791" t="s">
        <v>1143</v>
      </c>
      <c r="F19" s="775"/>
      <c r="G19" s="3793" t="s">
        <v>1144</v>
      </c>
      <c r="Q19" s="3432">
        <v>0</v>
      </c>
    </row>
    <row customHeight="1" ht="14.699999999999998">
      <c r="C20" s="3719"/>
      <c r="D20" s="3578">
        <v>2</v>
      </c>
      <c r="E20" s="3791" t="s">
        <v>1145</v>
      </c>
      <c r="F20" s="3525" t="s">
        <v>321</v>
      </c>
      <c r="G20" s="3793"/>
      <c r="Q20" s="3432">
        <v>14</v>
      </c>
    </row>
    <row customHeight="1" ht="18.75" hidden="1">
      <c r="C21" s="3719"/>
      <c r="D21" s="777" t="s">
        <v>660</v>
      </c>
      <c r="E21" s="3794"/>
      <c r="F21" s="779"/>
      <c r="G21" s="3795"/>
      <c r="Q21" s="3432">
        <v>0</v>
      </c>
    </row>
    <row customHeight="1" ht="15.75">
      <c r="C22" s="3719"/>
      <c r="D22" s="3726"/>
      <c r="E22" s="167" t="s">
        <v>337</v>
      </c>
      <c r="F22" s="776"/>
      <c r="G22" s="3796"/>
      <c r="Q22" s="3432">
        <v>15</v>
      </c>
    </row>
    <row customHeight="1" ht="22.5" hidden="1">
      <c r="C23" s="3719"/>
      <c r="D23" s="313" t="s">
        <v>108</v>
      </c>
      <c r="E23" s="3767" t="s">
        <v>1146</v>
      </c>
      <c r="F23" s="3525" t="s">
        <v>321</v>
      </c>
      <c r="G23" s="3764"/>
      <c r="Q23" s="3432">
        <v>0</v>
      </c>
    </row>
    <row customHeight="1" ht="14.25" hidden="1">
      <c r="C24" s="3719"/>
      <c r="D24" s="313" t="s">
        <v>732</v>
      </c>
      <c r="E24" s="3791" t="s">
        <v>1147</v>
      </c>
      <c r="F24" s="3525" t="s">
        <v>321</v>
      </c>
      <c r="G24" s="3793"/>
      <c r="Q24" s="3432">
        <v>0</v>
      </c>
    </row>
    <row customHeight="1" ht="14.25" hidden="1">
      <c r="C25" s="3719"/>
      <c r="D25" s="313" t="s">
        <v>735</v>
      </c>
      <c r="E25" s="3792"/>
      <c r="F25" s="775"/>
      <c r="G25" s="3546" t="s">
        <v>1148</v>
      </c>
      <c r="Q25" s="3432">
        <v>0</v>
      </c>
    </row>
    <row customHeight="1" ht="22.5" hidden="1">
      <c r="C26" s="3719"/>
      <c r="D26" s="3726"/>
      <c r="E26" s="226" t="s">
        <v>1149</v>
      </c>
      <c r="F26" s="776"/>
      <c r="G26" s="3550"/>
      <c r="Q26" s="3432">
        <v>0</v>
      </c>
    </row>
    <row customHeight="1" ht="3">
      <c r="Q27" s="3432">
        <v>3</v>
      </c>
    </row>
    <row customHeight="1" ht="14.699999999999998">
      <c r="Q28" s="3432">
        <v>14</v>
      </c>
    </row>
    <row customHeight="1" ht="14.699999999999998">
      <c r="Q29" s="3432">
        <v>14</v>
      </c>
    </row>
    <row customHeight="1" ht="14.699999999999998">
      <c r="Q30" s="3432">
        <v>14</v>
      </c>
    </row>
    <row customHeight="1" ht="14.699999999999998">
      <c r="Q31" s="3432">
        <v>14</v>
      </c>
    </row>
    <row customHeight="1" ht="22.5" hidden="1">
      <c r="A32" s="782" t="s">
        <v>80</v>
      </c>
      <c r="B32" s="3449">
        <v>0</v>
      </c>
      <c r="C32" s="3797">
        <v>3</v>
      </c>
      <c r="D32" s="3432">
        <v>6</v>
      </c>
      <c r="E32" s="3432">
        <v>64</v>
      </c>
      <c r="F32" s="3432">
        <v>64</v>
      </c>
      <c r="G32" s="3432">
        <v>140</v>
      </c>
      <c r="H32" s="3432">
        <v>10</v>
      </c>
      <c r="I32" s="3479">
        <v>10</v>
      </c>
      <c r="J32" s="3479">
        <v>10</v>
      </c>
      <c r="K32" s="3432">
        <v>10</v>
      </c>
      <c r="L32" s="3432">
        <v>10</v>
      </c>
      <c r="M32" s="3432">
        <v>10</v>
      </c>
      <c r="N32" s="3432">
        <v>10</v>
      </c>
      <c r="O32" s="3432">
        <v>10</v>
      </c>
      <c r="P32" s="3432">
        <v>10</v>
      </c>
      <c r="Q32" s="343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320F2-E5DA-5A18-B74C-95C0EC75A29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2" style="7348" width="9.140625" hidden="1" customWidth="1"/>
    <col min="3" max="3" style="7348" width="3.00390625" customWidth="1"/>
    <col min="4" max="4" style="7348" width="6.00390625" customWidth="1"/>
    <col min="5" max="5" style="7348" width="63.00390625" customWidth="1"/>
    <col min="6" max="6" style="7348" width="1.7109375" hidden="1" customWidth="1"/>
    <col min="7" max="8" style="7348" width="35.00390625" customWidth="1"/>
    <col min="9" max="9" style="7348" width="91.00390625" customWidth="1"/>
    <col min="10" max="10" style="7348" width="68.00390625" customWidth="1"/>
    <col min="11" max="12" style="7348" width="10.00390625" customWidth="1"/>
    <col min="13" max="13" style="7348" width="10.57421875" hidden="1"/>
  </cols>
  <sheetData>
    <row customHeight="1" ht="22.5" hidden="1">
      <c r="M1" s="3432" t="s">
        <v>14</v>
      </c>
    </row>
    <row customHeight="1" ht="18.75" hidden="1">
      <c r="C2" s="991" t="s">
        <v>119</v>
      </c>
      <c r="D2" s="313"/>
      <c r="E2" s="3451"/>
      <c r="F2" s="3525"/>
      <c r="G2" s="3525" t="s">
        <v>321</v>
      </c>
      <c r="H2" s="431"/>
      <c r="M2" s="3432">
        <v>0</v>
      </c>
    </row>
    <row customHeight="1" ht="14.25" hidden="1">
      <c r="M3" s="3432">
        <v>0</v>
      </c>
    </row>
    <row customHeight="1" ht="18.75" hidden="1">
      <c r="C4" s="991" t="s">
        <v>119</v>
      </c>
      <c r="D4" s="313"/>
      <c r="E4" s="3791" t="s">
        <v>1150</v>
      </c>
      <c r="F4" s="3525"/>
      <c r="G4" s="3766"/>
      <c r="H4" s="3525" t="s">
        <v>321</v>
      </c>
      <c r="M4" s="3432">
        <v>0</v>
      </c>
    </row>
    <row customHeight="1" ht="14.25" hidden="1">
      <c r="M5" s="3432">
        <v>0</v>
      </c>
    </row>
    <row customHeight="1" ht="18.75" hidden="1">
      <c r="C6" s="991" t="s">
        <v>119</v>
      </c>
      <c r="D6" s="313"/>
      <c r="E6" s="3919" t="s">
        <v>1151</v>
      </c>
      <c r="F6" s="3525"/>
      <c r="G6" s="3766"/>
      <c r="H6" s="3525" t="s">
        <v>321</v>
      </c>
      <c r="M6" s="3432">
        <v>0</v>
      </c>
    </row>
    <row customHeight="1" ht="14.25" hidden="1">
      <c r="M7" s="3432">
        <v>0</v>
      </c>
    </row>
    <row customHeight="1" ht="18.75" hidden="1">
      <c r="C8" s="991" t="s">
        <v>119</v>
      </c>
      <c r="D8" s="313"/>
      <c r="E8" s="3919" t="s">
        <v>1152</v>
      </c>
      <c r="F8" s="3525"/>
      <c r="G8" s="3766"/>
      <c r="H8" s="3525" t="s">
        <v>321</v>
      </c>
      <c r="M8" s="3432">
        <v>0</v>
      </c>
    </row>
    <row customHeight="1" ht="14.25" hidden="1">
      <c r="M9" s="3432">
        <v>0</v>
      </c>
    </row>
    <row customHeight="1" ht="18.75" hidden="1">
      <c r="C10" s="991" t="s">
        <v>119</v>
      </c>
      <c r="D10" s="313"/>
      <c r="E10" s="3919" t="s">
        <v>1153</v>
      </c>
      <c r="F10" s="3525"/>
      <c r="G10" s="356"/>
      <c r="H10" s="3525" t="s">
        <v>321</v>
      </c>
      <c r="L10" s="3479" t="s">
        <v>1154</v>
      </c>
      <c r="M10" s="3432">
        <v>0</v>
      </c>
    </row>
    <row customHeight="1" ht="14.25" hidden="1">
      <c r="M11" s="3432">
        <v>0</v>
      </c>
    </row>
    <row customHeight="1" ht="14.25" hidden="1">
      <c r="M12" s="3432">
        <v>0</v>
      </c>
    </row>
    <row customHeight="1" ht="14.699999999999998">
      <c r="C13" s="3719"/>
      <c r="D13" s="3450"/>
      <c r="E13" s="3450"/>
      <c r="F13" s="3450"/>
      <c r="G13" s="3450"/>
      <c r="H13" s="3789"/>
      <c r="I13" s="3789"/>
      <c r="M13" s="3432">
        <v>14</v>
      </c>
    </row>
    <row customHeight="1" ht="29.25">
      <c r="C14" s="3719"/>
      <c r="D14" s="3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3518"/>
      <c r="F14" s="3518"/>
      <c r="G14" s="3518"/>
      <c r="H14" s="3519"/>
      <c r="M14" s="3432">
        <v>28</v>
      </c>
    </row>
    <row customHeight="1" ht="14.699999999999998">
      <c r="C15" s="3719"/>
      <c r="D15" s="3622" t="str">
        <f>IF(org=0,"Не определено",org)</f>
        <v>ООО "ТеплоЭлектроГенерирующая Компания"</v>
      </c>
      <c r="E15" s="3623"/>
      <c r="F15" s="3623"/>
      <c r="G15" s="3623"/>
      <c r="H15" s="3624"/>
      <c r="M15" s="3432">
        <v>14</v>
      </c>
    </row>
    <row customHeight="1" ht="14.699999999999998">
      <c r="C16" s="3719"/>
      <c r="D16" s="3450"/>
      <c r="E16" s="3445"/>
      <c r="F16" s="3445"/>
      <c r="G16" s="3445"/>
      <c r="H16" s="3575"/>
      <c r="I16" s="3790"/>
      <c r="M16" s="3432">
        <v>14</v>
      </c>
    </row>
    <row customHeight="1" ht="14.25" hidden="1">
      <c r="C17" s="3719"/>
      <c r="D17" s="3450"/>
      <c r="E17" s="3445"/>
      <c r="F17" s="3445"/>
      <c r="G17" s="3445"/>
      <c r="H17" s="3575"/>
      <c r="I17" s="3790"/>
      <c r="M17" s="3432">
        <v>0</v>
      </c>
    </row>
    <row customHeight="1" ht="22.049999999999997">
      <c r="C18" s="3719"/>
      <c r="D18" s="3579" t="s">
        <v>315</v>
      </c>
      <c r="E18" s="3579"/>
      <c r="F18" s="3579"/>
      <c r="G18" s="3579"/>
      <c r="H18" s="3579"/>
      <c r="I18" s="3707" t="s">
        <v>316</v>
      </c>
      <c r="M18" s="3432">
        <v>21</v>
      </c>
    </row>
    <row customHeight="1" ht="22.049999999999997">
      <c r="C19" s="3719"/>
      <c r="D19" s="3579" t="s">
        <v>86</v>
      </c>
      <c r="E19" s="3525" t="s">
        <v>317</v>
      </c>
      <c r="F19" s="3525"/>
      <c r="G19" s="3525" t="s">
        <v>318</v>
      </c>
      <c r="H19" s="3525" t="s">
        <v>405</v>
      </c>
      <c r="I19" s="3707"/>
      <c r="M19" s="3432">
        <v>21</v>
      </c>
    </row>
    <row customHeight="1" ht="12" hidden="1">
      <c r="C20" s="3719"/>
      <c r="D20" s="389"/>
      <c r="E20" s="389"/>
      <c r="F20" s="389"/>
      <c r="G20" s="389"/>
      <c r="H20" s="389"/>
      <c r="I20" s="389"/>
      <c r="M20" s="3432">
        <v>0</v>
      </c>
    </row>
    <row customHeight="1" ht="14.699999999999998">
      <c r="C21" s="3719"/>
      <c r="D21" s="313">
        <v>1</v>
      </c>
      <c r="E21" s="3765" t="s">
        <v>1155</v>
      </c>
      <c r="F21" s="3765"/>
      <c r="G21" s="3765"/>
      <c r="H21" s="3765"/>
      <c r="I21" s="3816"/>
      <c r="M21" s="3432">
        <v>14</v>
      </c>
    </row>
    <row customHeight="1" ht="21">
      <c r="C22" s="3719"/>
      <c r="D22" s="313" t="s">
        <v>1045</v>
      </c>
      <c r="E22" s="3791" t="s">
        <v>1156</v>
      </c>
      <c r="F22" s="3525"/>
      <c r="G22" s="993"/>
      <c r="H22" s="3525" t="s">
        <v>321</v>
      </c>
      <c r="I22" s="3764" t="s">
        <v>1157</v>
      </c>
      <c r="M22" s="3432">
        <v>20</v>
      </c>
    </row>
    <row customHeight="1" ht="60">
      <c r="C23" s="3719"/>
      <c r="D23" s="313" t="s">
        <v>1047</v>
      </c>
      <c r="E23" s="3791" t="s">
        <v>1158</v>
      </c>
      <c r="F23" s="3525"/>
      <c r="G23" s="3766"/>
      <c r="H23" s="431"/>
      <c r="I23" s="3529" t="s">
        <v>1159</v>
      </c>
      <c r="M23" s="3432">
        <v>57</v>
      </c>
    </row>
    <row customHeight="1" ht="14.699999999999998">
      <c r="B24" s="3449">
        <v>3</v>
      </c>
      <c r="C24" s="3719"/>
      <c r="D24" s="313">
        <v>2</v>
      </c>
      <c r="E24" s="376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525"/>
      <c r="G24" s="3525" t="s">
        <v>321</v>
      </c>
      <c r="H24" s="431"/>
      <c r="I24" s="3563" t="s">
        <v>655</v>
      </c>
      <c r="M24" s="3432">
        <v>14</v>
      </c>
    </row>
    <row customHeight="1" ht="48.29999999999999">
      <c r="C25" s="3719"/>
      <c r="D25" s="313">
        <v>3</v>
      </c>
      <c r="E25" s="37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765"/>
      <c r="G25" s="3765"/>
      <c r="H25" s="3765"/>
      <c r="I25" s="3816"/>
      <c r="M25" s="3432">
        <v>46</v>
      </c>
    </row>
    <row customHeight="1" ht="14.699999999999998">
      <c r="C26" s="3719"/>
      <c r="D26" s="313" t="s">
        <v>339</v>
      </c>
      <c r="E26" s="3451"/>
      <c r="F26" s="3525"/>
      <c r="G26" s="3525" t="s">
        <v>321</v>
      </c>
      <c r="H26" s="431"/>
      <c r="I26" s="3546" t="s">
        <v>1160</v>
      </c>
      <c r="M26" s="3432">
        <v>14</v>
      </c>
    </row>
    <row customHeight="1" ht="15.75">
      <c r="A27" s="571" t="s">
        <v>107</v>
      </c>
      <c r="C27" s="3719"/>
      <c r="D27" s="3726"/>
      <c r="E27" s="167" t="s">
        <v>337</v>
      </c>
      <c r="F27" s="226"/>
      <c r="G27" s="226"/>
      <c r="H27" s="773"/>
      <c r="I27" s="3550"/>
      <c r="M27" s="3432">
        <v>15</v>
      </c>
    </row>
    <row customHeight="1" ht="39.75">
      <c r="B28" s="3449">
        <v>3</v>
      </c>
      <c r="C28" s="3719"/>
      <c r="D28" s="313">
        <v>4</v>
      </c>
      <c r="E28" s="37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3765"/>
      <c r="G28" s="3765"/>
      <c r="H28" s="3765"/>
      <c r="I28" s="3816"/>
      <c r="M28" s="3432">
        <v>38</v>
      </c>
    </row>
    <row customHeight="1" ht="21">
      <c r="C29" s="3719"/>
      <c r="D29" s="313" t="s">
        <v>777</v>
      </c>
      <c r="E29" s="3791" t="s">
        <v>1150</v>
      </c>
      <c r="F29" s="3525"/>
      <c r="G29" s="3766"/>
      <c r="H29" s="3525" t="s">
        <v>321</v>
      </c>
      <c r="I29" s="3546" t="s">
        <v>1161</v>
      </c>
      <c r="M29" s="3432">
        <v>20</v>
      </c>
    </row>
    <row customHeight="1" ht="15.75">
      <c r="A30" s="571" t="s">
        <v>108</v>
      </c>
      <c r="C30" s="3719"/>
      <c r="D30" s="3726"/>
      <c r="E30" s="167" t="s">
        <v>337</v>
      </c>
      <c r="F30" s="226"/>
      <c r="G30" s="226"/>
      <c r="H30" s="773"/>
      <c r="I30" s="3550"/>
      <c r="M30" s="3432">
        <v>15</v>
      </c>
    </row>
    <row customHeight="1" ht="31.5">
      <c r="B31" s="3449">
        <v>3</v>
      </c>
      <c r="C31" s="3719"/>
      <c r="D31" s="313">
        <v>5</v>
      </c>
      <c r="E31" s="37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3765"/>
      <c r="G31" s="3765"/>
      <c r="H31" s="3765"/>
      <c r="I31" s="3816"/>
      <c r="M31" s="3432">
        <v>30</v>
      </c>
    </row>
    <row customHeight="1" ht="27.299999999999997">
      <c r="C32" s="3719"/>
      <c r="D32" s="313" t="s">
        <v>328</v>
      </c>
      <c r="E32" s="37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3791"/>
      <c r="G32" s="3791"/>
      <c r="H32" s="3791"/>
      <c r="I32" s="3816"/>
      <c r="M32" s="3432">
        <v>26</v>
      </c>
    </row>
    <row customHeight="1" ht="14.699999999999998">
      <c r="C33" s="3719"/>
      <c r="D33" s="313" t="s">
        <v>1162</v>
      </c>
      <c r="E33" s="3919" t="s">
        <v>1151</v>
      </c>
      <c r="F33" s="3525"/>
      <c r="G33" s="3766"/>
      <c r="H33" s="3525" t="s">
        <v>321</v>
      </c>
      <c r="I33" s="3546" t="s">
        <v>1163</v>
      </c>
      <c r="M33" s="3432">
        <v>14</v>
      </c>
    </row>
    <row customHeight="1" ht="15.75">
      <c r="A34" s="571" t="s">
        <v>88</v>
      </c>
      <c r="C34" s="3719"/>
      <c r="D34" s="3726"/>
      <c r="E34" s="226" t="s">
        <v>337</v>
      </c>
      <c r="F34" s="994"/>
      <c r="G34" s="994"/>
      <c r="H34" s="773"/>
      <c r="I34" s="3550"/>
      <c r="M34" s="3432">
        <v>15</v>
      </c>
    </row>
    <row customHeight="1" ht="25.2">
      <c r="C35" s="3719"/>
      <c r="D35" s="313" t="s">
        <v>904</v>
      </c>
      <c r="E35" s="37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3791"/>
      <c r="G35" s="3791"/>
      <c r="H35" s="3791"/>
      <c r="I35" s="3816"/>
      <c r="M35" s="3432">
        <v>24</v>
      </c>
    </row>
    <row customHeight="1" ht="14.699999999999998">
      <c r="C36" s="3719"/>
      <c r="D36" s="313" t="s">
        <v>1164</v>
      </c>
      <c r="E36" s="3919" t="s">
        <v>1152</v>
      </c>
      <c r="F36" s="3525"/>
      <c r="G36" s="3766"/>
      <c r="H36" s="3525" t="s">
        <v>321</v>
      </c>
      <c r="I36" s="3529" t="s">
        <v>1165</v>
      </c>
      <c r="M36" s="3432">
        <v>14</v>
      </c>
    </row>
    <row customHeight="1" ht="15.75">
      <c r="A37" s="571" t="s">
        <v>89</v>
      </c>
      <c r="C37" s="3719"/>
      <c r="D37" s="3726"/>
      <c r="E37" s="226" t="s">
        <v>337</v>
      </c>
      <c r="F37" s="994"/>
      <c r="G37" s="994"/>
      <c r="H37" s="773"/>
      <c r="I37" s="3529"/>
      <c r="M37" s="3432">
        <v>15</v>
      </c>
    </row>
    <row customHeight="1" ht="27.299999999999997">
      <c r="C38" s="3719"/>
      <c r="D38" s="313" t="s">
        <v>905</v>
      </c>
      <c r="E38" s="37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3791"/>
      <c r="G38" s="3791"/>
      <c r="H38" s="3791"/>
      <c r="I38" s="3816"/>
      <c r="M38" s="3432">
        <v>26</v>
      </c>
    </row>
    <row customHeight="1" ht="14.699999999999998">
      <c r="C39" s="3719"/>
      <c r="D39" s="313" t="s">
        <v>906</v>
      </c>
      <c r="E39" s="3919" t="s">
        <v>1153</v>
      </c>
      <c r="F39" s="3525"/>
      <c r="G39" s="356"/>
      <c r="H39" s="3525" t="s">
        <v>321</v>
      </c>
      <c r="I39" s="3546" t="s">
        <v>1166</v>
      </c>
      <c r="L39" s="3479" t="s">
        <v>1154</v>
      </c>
      <c r="M39" s="3432">
        <v>14</v>
      </c>
    </row>
    <row customHeight="1" ht="15.75">
      <c r="A40" s="571" t="s">
        <v>109</v>
      </c>
      <c r="C40" s="3719"/>
      <c r="D40" s="3726"/>
      <c r="E40" s="226" t="s">
        <v>337</v>
      </c>
      <c r="F40" s="994"/>
      <c r="G40" s="994"/>
      <c r="H40" s="773"/>
      <c r="I40" s="3550"/>
      <c r="M40" s="3432">
        <v>15</v>
      </c>
    </row>
    <row customHeight="1" ht="3">
      <c r="M41" s="286">
        <v>3</v>
      </c>
    </row>
    <row customHeight="1" ht="26.25">
      <c r="D42" s="3920" t="s">
        <v>826</v>
      </c>
      <c r="E42" s="37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M42" s="3432">
        <v>25</v>
      </c>
    </row>
    <row customHeight="1" ht="22.5" hidden="1">
      <c r="A43" s="105" t="s">
        <v>80</v>
      </c>
      <c r="B43" s="3449">
        <v>0</v>
      </c>
      <c r="C43" s="3797">
        <v>3</v>
      </c>
      <c r="D43" s="3432">
        <v>6</v>
      </c>
      <c r="E43" s="3432">
        <v>63</v>
      </c>
      <c r="F43" s="3432">
        <v>0</v>
      </c>
      <c r="G43" s="3432">
        <v>35</v>
      </c>
      <c r="H43" s="3432">
        <v>35</v>
      </c>
      <c r="I43" s="3432">
        <v>91</v>
      </c>
      <c r="J43" s="3432">
        <v>68</v>
      </c>
      <c r="K43" s="3479">
        <v>10</v>
      </c>
      <c r="L43" s="3479">
        <v>10</v>
      </c>
      <c r="M43" s="343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33BAF-0A2F-D40C-0EA2-6F804966DBB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48" width="25.140625" hidden="1" customWidth="1"/>
    <col min="3" max="3" style="7348" width="9.140625" hidden="1" customWidth="1"/>
    <col min="4" max="4" style="7348" width="3.00390625" customWidth="1"/>
    <col min="5" max="5" style="7348" width="6.00390625" customWidth="1"/>
    <col min="6" max="6" style="7348" width="46.7109375" customWidth="1"/>
    <col min="7" max="7" style="7348" width="35.00390625" customWidth="1"/>
    <col min="8" max="8" style="7348" width="3.00390625" customWidth="1"/>
    <col min="9" max="10" style="7348" width="11.00390625" customWidth="1"/>
    <col min="11" max="12" style="7348" width="35.00390625" customWidth="1"/>
    <col min="13" max="13" style="7348" width="84.00390625" customWidth="1"/>
    <col min="14" max="33" style="7348" width="10.00390625" customWidth="1"/>
    <col min="34" max="34" style="7348" width="10.57421875" hidden="1"/>
  </cols>
  <sheetData>
    <row customHeight="1" ht="22.5" hidden="1">
      <c r="N1" s="3473">
        <f>_xlfn.IFERROR(MATCH("метод экономически обоснованных расходов (затрат)",OFFER_METHOD,0),0)</f>
        <v>0</v>
      </c>
      <c r="AH1" s="3432" t="s">
        <v>14</v>
      </c>
    </row>
    <row customHeight="1" ht="18.75" hidden="1">
      <c r="A2" s="286" t="s">
        <v>172</v>
      </c>
      <c r="B2" s="286" t="s">
        <v>173</v>
      </c>
      <c r="E2" s="3798"/>
      <c r="F2" s="3798"/>
      <c r="G2" s="3799" t="str">
        <f>INDEX(PT_DIFFERENTIATION_NTAR,MATCH(B2,PT_DIFFERENTIATION_NTAR_ID,0))</f>
        <v/>
      </c>
      <c r="H2" s="3628"/>
      <c r="I2" s="786"/>
      <c r="J2" s="787"/>
      <c r="K2" s="3800"/>
      <c r="L2" s="3628" t="s">
        <v>321</v>
      </c>
      <c r="M2" s="3801"/>
      <c r="AH2" s="3432">
        <v>0</v>
      </c>
    </row>
    <row customHeight="1" ht="18.75" hidden="1">
      <c r="C3" s="3802" t="s">
        <v>1167</v>
      </c>
      <c r="E3" s="3798"/>
      <c r="F3" s="3798"/>
      <c r="G3" s="3799"/>
      <c r="H3" s="791"/>
      <c r="I3" s="172" t="s">
        <v>1168</v>
      </c>
      <c r="J3" s="226"/>
      <c r="K3" s="791"/>
      <c r="L3" s="773"/>
      <c r="M3" s="3801"/>
      <c r="AH3" s="3432">
        <v>0</v>
      </c>
    </row>
    <row customHeight="1" ht="14.25" hidden="1">
      <c r="N4" s="3473">
        <f>_xlfn.IFERROR(MATCH("метод экономически обоснованных расходов (затрат)",OFFER_METHOD,0),0)</f>
        <v>0</v>
      </c>
      <c r="AH4" s="3432">
        <v>0</v>
      </c>
    </row>
    <row customHeight="1" ht="18.75" hidden="1">
      <c r="A5" s="286" t="s">
        <v>172</v>
      </c>
      <c r="B5" s="286" t="s">
        <v>173</v>
      </c>
      <c r="E5" s="3798"/>
      <c r="F5" s="3798"/>
      <c r="G5" s="3799" t="str">
        <f>INDEX(PT_DIFFERENTIATION_NTAR,MATCH(B5,PT_DIFFERENTIATION_NTAR_ID,0))</f>
        <v/>
      </c>
      <c r="H5" s="3628"/>
      <c r="I5" s="786"/>
      <c r="J5" s="787"/>
      <c r="K5" s="398"/>
      <c r="L5" s="3628" t="s">
        <v>321</v>
      </c>
      <c r="M5" s="3801"/>
      <c r="AH5" s="3432">
        <v>0</v>
      </c>
    </row>
    <row customHeight="1" ht="18.75" hidden="1">
      <c r="C6" s="3802" t="s">
        <v>1169</v>
      </c>
      <c r="E6" s="3798"/>
      <c r="F6" s="3798"/>
      <c r="G6" s="3799"/>
      <c r="H6" s="791"/>
      <c r="I6" s="172" t="s">
        <v>1168</v>
      </c>
      <c r="J6" s="226"/>
      <c r="K6" s="791"/>
      <c r="L6" s="773"/>
      <c r="M6" s="3801"/>
      <c r="AH6" s="3432">
        <v>0</v>
      </c>
    </row>
    <row customHeight="1" ht="14.25" hidden="1">
      <c r="N7" s="3473">
        <f>_xlfn.IFERROR(MATCH("метод экономически обоснованных расходов (затрат)",OFFER_METHOD,0),0)</f>
        <v>0</v>
      </c>
      <c r="AH7" s="3432">
        <v>0</v>
      </c>
    </row>
    <row customHeight="1" ht="56.25" hidden="1">
      <c r="E8" s="3798"/>
      <c r="F8" s="3798"/>
      <c r="G8" s="3798"/>
      <c r="H8" s="3628"/>
      <c r="I8" s="786"/>
      <c r="J8" s="787"/>
      <c r="K8" s="3800"/>
      <c r="L8" s="3628" t="s">
        <v>321</v>
      </c>
      <c r="M8" s="3801"/>
      <c r="AH8" s="3432">
        <v>0</v>
      </c>
    </row>
    <row customHeight="1" ht="14.25" hidden="1">
      <c r="AH9" s="3432">
        <v>0</v>
      </c>
    </row>
    <row customHeight="1" ht="56.25" hidden="1">
      <c r="E10" s="3798"/>
      <c r="F10" s="3798"/>
      <c r="G10" s="3798"/>
      <c r="H10" s="3525"/>
      <c r="I10" s="786"/>
      <c r="J10" s="787"/>
      <c r="K10" s="398"/>
      <c r="L10" s="3628" t="s">
        <v>321</v>
      </c>
      <c r="M10" s="3801"/>
      <c r="AH10" s="3432">
        <v>0</v>
      </c>
    </row>
    <row customHeight="1" ht="14.25" hidden="1">
      <c r="AH11" s="3432">
        <v>0</v>
      </c>
    </row>
    <row customHeight="1" ht="14.25" hidden="1">
      <c r="AH12" s="3432">
        <v>0</v>
      </c>
    </row>
    <row customHeight="1" ht="6.3">
      <c r="D13" s="3719"/>
      <c r="E13" s="3450"/>
      <c r="F13" s="3450"/>
      <c r="G13" s="3450"/>
      <c r="H13" s="3450"/>
      <c r="I13" s="3450"/>
      <c r="J13" s="3450"/>
      <c r="K13" s="3450"/>
      <c r="L13" s="3789"/>
      <c r="M13" s="3789"/>
      <c r="AH13" s="3432">
        <v>6</v>
      </c>
    </row>
    <row customHeight="1" ht="14.699999999999998">
      <c r="D14" s="3719"/>
      <c r="E14" s="38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3803"/>
      <c r="G14" s="3803"/>
      <c r="H14" s="3803"/>
      <c r="I14" s="3803"/>
      <c r="J14" s="3803"/>
      <c r="K14" s="3803"/>
      <c r="L14" s="3803"/>
      <c r="AH14" s="3432">
        <v>14</v>
      </c>
    </row>
    <row customHeight="1" ht="6.3">
      <c r="D15" s="3719"/>
      <c r="E15" s="3450"/>
      <c r="F15" s="3445"/>
      <c r="G15" s="3445"/>
      <c r="H15" s="3445"/>
      <c r="I15" s="3445"/>
      <c r="J15" s="3445"/>
      <c r="K15" s="3445"/>
      <c r="L15" s="3804"/>
      <c r="M15" s="3790"/>
      <c r="AH15" s="3432">
        <v>6</v>
      </c>
    </row>
    <row customHeight="1" ht="24">
      <c r="D16" s="3719"/>
      <c r="E16" s="3450"/>
      <c r="F16" s="3805" t="str">
        <f>"Дата подачи заявления об "&amp;IF(TITLE_DATE_PR_CHANGE="","утверждении","изменении")&amp;" тарифов"</f>
        <v>Дата подачи заявления об утверждении тарифов</v>
      </c>
      <c r="G16" s="795" t="str">
        <f>IF(TITLE_DATE_PR_CHANGE="",IF(TITLE_DATE_PR="","",TITLE_DATE_PR),TITLE_DATE_PR_CHANGE)</f>
        <v/>
      </c>
      <c r="H16" s="795"/>
      <c r="I16" s="795"/>
      <c r="J16" s="795"/>
      <c r="K16" s="795"/>
      <c r="L16" s="795"/>
      <c r="AH16" s="3432">
        <v>23</v>
      </c>
    </row>
    <row customHeight="1" ht="24">
      <c r="D17" s="3719"/>
      <c r="E17" s="3450"/>
      <c r="F17" s="3805" t="str">
        <f>"Номер подачи заявления об "&amp;IF(TITLE_DATE_PR_CHANGE="","утверждении","изменении")&amp;" тарифов"</f>
        <v>Номер подачи заявления об утверждении тарифов</v>
      </c>
      <c r="G17" s="3806" t="str">
        <f>IF(TITLE_NUMBER_PR_CHANGE="",IF(TITLE_NUMBER_PR="","",TITLE_NUMBER_PR),TITLE_NUMBER_PR_CHANGE)</f>
        <v/>
      </c>
      <c r="H17" s="3806"/>
      <c r="I17" s="3806"/>
      <c r="J17" s="3806"/>
      <c r="K17" s="3806"/>
      <c r="L17" s="3806"/>
      <c r="AH17" s="3432">
        <v>23</v>
      </c>
    </row>
    <row customHeight="1" ht="14.699999999999998">
      <c r="D18" s="3719"/>
      <c r="E18" s="3450"/>
      <c r="F18" s="3445"/>
      <c r="G18" s="3445"/>
      <c r="H18" s="3445"/>
      <c r="I18" s="3445"/>
      <c r="J18" s="3445"/>
      <c r="K18" s="3445"/>
      <c r="L18" s="3575"/>
      <c r="M18" s="3790"/>
      <c r="AH18" s="3432">
        <v>14</v>
      </c>
    </row>
    <row customHeight="1" ht="22.049999999999997">
      <c r="D19" s="3719"/>
      <c r="E19" s="3579" t="s">
        <v>315</v>
      </c>
      <c r="F19" s="3579"/>
      <c r="G19" s="3579"/>
      <c r="H19" s="3579"/>
      <c r="I19" s="3579"/>
      <c r="J19" s="3579"/>
      <c r="K19" s="3579"/>
      <c r="L19" s="3579"/>
      <c r="M19" s="3707" t="s">
        <v>316</v>
      </c>
      <c r="AH19" s="3432">
        <v>21</v>
      </c>
    </row>
    <row customHeight="1" ht="22.049999999999997">
      <c r="D20" s="3719"/>
      <c r="E20" s="3807" t="s">
        <v>86</v>
      </c>
      <c r="F20" s="3629" t="s">
        <v>140</v>
      </c>
      <c r="G20" s="3629" t="s">
        <v>141</v>
      </c>
      <c r="H20" s="3717" t="s">
        <v>1170</v>
      </c>
      <c r="I20" s="3808"/>
      <c r="J20" s="3809"/>
      <c r="K20" s="3629" t="s">
        <v>318</v>
      </c>
      <c r="L20" s="3629" t="s">
        <v>405</v>
      </c>
      <c r="M20" s="3707"/>
      <c r="AH20" s="3432">
        <v>21</v>
      </c>
    </row>
    <row customHeight="1" ht="22.049999999999997">
      <c r="D21" s="3719"/>
      <c r="E21" s="3810"/>
      <c r="F21" s="3632"/>
      <c r="G21" s="3632"/>
      <c r="H21" s="3626" t="s">
        <v>1171</v>
      </c>
      <c r="I21" s="3628"/>
      <c r="J21" s="3525" t="s">
        <v>1172</v>
      </c>
      <c r="K21" s="3632"/>
      <c r="L21" s="3632"/>
      <c r="M21" s="3707"/>
      <c r="AH21" s="3432">
        <v>21</v>
      </c>
    </row>
    <row customHeight="1" ht="12.75">
      <c r="D22" s="3719"/>
      <c r="E22" s="389"/>
      <c r="F22" s="389"/>
      <c r="G22" s="389"/>
      <c r="H22" s="801"/>
      <c r="I22" s="801"/>
      <c r="J22" s="389"/>
      <c r="K22" s="389"/>
      <c r="L22" s="389"/>
      <c r="M22" s="389"/>
      <c r="AH22" s="3432">
        <v>12</v>
      </c>
    </row>
    <row customHeight="1" ht="19.95">
      <c r="D23" s="3719"/>
      <c r="E23" s="802" t="s">
        <v>107</v>
      </c>
      <c r="F23" s="3811" t="str">
        <f>"Предлагаемый метод регулирования"&amp;IF(TEMPLATE_SPHERE="HEAT"," в сфере "&amp;TEMPLATE_SPHERE_RUS,"")</f>
        <v>Предлагаемый метод регулирования</v>
      </c>
      <c r="G23" s="3811"/>
      <c r="H23" s="3765"/>
      <c r="I23" s="3765"/>
      <c r="J23" s="3765"/>
      <c r="K23" s="3811" t="s">
        <v>321</v>
      </c>
      <c r="L23" s="3765"/>
      <c r="M23" s="3563"/>
      <c r="AH23" s="3432">
        <v>19</v>
      </c>
    </row>
    <row customHeight="1" ht="60.75" hidden="1">
      <c r="A24" s="286" t="s">
        <v>172</v>
      </c>
      <c r="B24" s="286" t="s">
        <v>173</v>
      </c>
      <c r="D24" s="3812"/>
      <c r="E24" s="313"/>
      <c r="F24" s="38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799" t="str">
        <f>INDEX(PT_DIFFERENTIATION_NTAR,MATCH(B24,PT_DIFFERENTIATION_NTAR_ID,0))</f>
        <v/>
      </c>
      <c r="H24" s="3628"/>
      <c r="I24" s="786"/>
      <c r="J24" s="787"/>
      <c r="K24" s="3800"/>
      <c r="L24" s="3628" t="s">
        <v>321</v>
      </c>
      <c r="M24" s="35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432">
        <v>0</v>
      </c>
    </row>
    <row customHeight="1" ht="18.75" hidden="1">
      <c r="C25" s="3802" t="s">
        <v>1167</v>
      </c>
      <c r="D25" s="3812"/>
      <c r="E25" s="313"/>
      <c r="F25" s="3813"/>
      <c r="G25" s="3799"/>
      <c r="H25" s="791"/>
      <c r="I25" s="172" t="s">
        <v>1168</v>
      </c>
      <c r="J25" s="226"/>
      <c r="K25" s="791"/>
      <c r="L25" s="773"/>
      <c r="M25" s="3548"/>
      <c r="AH25" s="3432">
        <v>0</v>
      </c>
    </row>
    <row customHeight="1" ht="0.75" hidden="1">
      <c r="C26" s="3802" t="s">
        <v>1173</v>
      </c>
      <c r="D26" s="3812"/>
      <c r="E26" s="313"/>
      <c r="F26" s="3442"/>
      <c r="G26" s="806"/>
      <c r="H26" s="791"/>
      <c r="I26" s="172"/>
      <c r="J26" s="226"/>
      <c r="K26" s="791"/>
      <c r="L26" s="773"/>
      <c r="M26" s="3548"/>
      <c r="AH26" s="3432">
        <v>0</v>
      </c>
    </row>
    <row customHeight="1" ht="45" hidden="1">
      <c r="A27" s="286" t="s">
        <v>177</v>
      </c>
      <c r="B27" s="286" t="s">
        <v>178</v>
      </c>
      <c r="D27" s="3814"/>
      <c r="E27" s="808"/>
      <c r="F27" s="3815" t="str">
        <f>INDEX(PT_DIFFERENTIATION_VTAR,MATCH(A27,PT_DIFFERENTIATION_VTAR_ID,0))</f>
        <v/>
      </c>
      <c r="G27" s="3799" t="str">
        <f>INDEX(PT_DIFFERENTIATION_NTAR,MATCH(B27,PT_DIFFERENTIATION_NTAR_ID,0))</f>
        <v/>
      </c>
      <c r="H27" s="3628"/>
      <c r="I27" s="786"/>
      <c r="J27" s="787"/>
      <c r="K27" s="3800"/>
      <c r="L27" s="3628" t="s">
        <v>321</v>
      </c>
      <c r="M27" s="3548"/>
      <c r="AH27" s="3432">
        <v>0</v>
      </c>
    </row>
    <row customHeight="1" ht="18.75" hidden="1">
      <c r="C28" s="3802" t="s">
        <v>1167</v>
      </c>
      <c r="D28" s="3814"/>
      <c r="E28" s="808"/>
      <c r="F28" s="3815"/>
      <c r="G28" s="3799"/>
      <c r="H28" s="791"/>
      <c r="I28" s="172" t="s">
        <v>1168</v>
      </c>
      <c r="J28" s="226"/>
      <c r="K28" s="791"/>
      <c r="L28" s="773"/>
      <c r="M28" s="3548"/>
      <c r="AH28" s="3432">
        <v>0</v>
      </c>
    </row>
    <row customHeight="1" ht="0.75" hidden="1">
      <c r="C29" s="3802" t="s">
        <v>1173</v>
      </c>
      <c r="D29" s="3814"/>
      <c r="E29" s="313"/>
      <c r="F29" s="3442"/>
      <c r="G29" s="806"/>
      <c r="H29" s="791"/>
      <c r="I29" s="172"/>
      <c r="J29" s="226"/>
      <c r="K29" s="791"/>
      <c r="L29" s="773"/>
      <c r="M29" s="3548"/>
      <c r="AH29" s="3432">
        <v>0</v>
      </c>
    </row>
    <row customHeight="1" ht="45" hidden="1">
      <c r="A30" s="286" t="s">
        <v>184</v>
      </c>
      <c r="B30" s="286" t="s">
        <v>185</v>
      </c>
      <c r="D30" s="3814"/>
      <c r="E30" s="313"/>
      <c r="F30" s="34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799" t="str">
        <f>INDEX(PT_DIFFERENTIATION_NTAR,MATCH(B30,PT_DIFFERENTIATION_NTAR_ID,0))</f>
        <v/>
      </c>
      <c r="H30" s="3628"/>
      <c r="I30" s="786"/>
      <c r="J30" s="787"/>
      <c r="K30" s="3800"/>
      <c r="L30" s="3628" t="s">
        <v>321</v>
      </c>
      <c r="M30" s="3548"/>
      <c r="AH30" s="3432">
        <v>0</v>
      </c>
    </row>
    <row customHeight="1" ht="18.75" hidden="1">
      <c r="C31" s="3802" t="s">
        <v>1167</v>
      </c>
      <c r="D31" s="3814"/>
      <c r="E31" s="313"/>
      <c r="F31" s="3442"/>
      <c r="G31" s="3799"/>
      <c r="H31" s="791"/>
      <c r="I31" s="172" t="s">
        <v>1168</v>
      </c>
      <c r="J31" s="226"/>
      <c r="K31" s="791"/>
      <c r="L31" s="773"/>
      <c r="M31" s="3548"/>
      <c r="AH31" s="3432">
        <v>0</v>
      </c>
    </row>
    <row customHeight="1" ht="0.75" hidden="1">
      <c r="C32" s="3802" t="s">
        <v>1173</v>
      </c>
      <c r="D32" s="3814"/>
      <c r="E32" s="313"/>
      <c r="F32" s="3442"/>
      <c r="G32" s="806"/>
      <c r="H32" s="791"/>
      <c r="I32" s="172"/>
      <c r="J32" s="226"/>
      <c r="K32" s="791"/>
      <c r="L32" s="773"/>
      <c r="M32" s="3548"/>
      <c r="AH32" s="3432">
        <v>0</v>
      </c>
    </row>
    <row customHeight="1" ht="45" hidden="1">
      <c r="A33" s="286" t="s">
        <v>190</v>
      </c>
      <c r="B33" s="286" t="s">
        <v>191</v>
      </c>
      <c r="D33" s="3814"/>
      <c r="E33" s="313"/>
      <c r="F33" s="34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799" t="str">
        <f>INDEX(PT_DIFFERENTIATION_NTAR,MATCH(B33,PT_DIFFERENTIATION_NTAR_ID,0))</f>
        <v/>
      </c>
      <c r="H33" s="3628"/>
      <c r="I33" s="786"/>
      <c r="J33" s="787"/>
      <c r="K33" s="3800"/>
      <c r="L33" s="3628" t="s">
        <v>321</v>
      </c>
      <c r="M33" s="3548"/>
      <c r="AH33" s="3432">
        <v>0</v>
      </c>
    </row>
    <row customHeight="1" ht="18.75" hidden="1">
      <c r="C34" s="3802" t="s">
        <v>1167</v>
      </c>
      <c r="D34" s="3814"/>
      <c r="E34" s="313"/>
      <c r="F34" s="3442"/>
      <c r="G34" s="3799"/>
      <c r="H34" s="791"/>
      <c r="I34" s="172" t="s">
        <v>1168</v>
      </c>
      <c r="J34" s="226"/>
      <c r="K34" s="791"/>
      <c r="L34" s="773"/>
      <c r="M34" s="3548"/>
      <c r="AH34" s="3432">
        <v>0</v>
      </c>
    </row>
    <row customHeight="1" ht="0.75" hidden="1">
      <c r="C35" s="3802" t="s">
        <v>1173</v>
      </c>
      <c r="D35" s="3814"/>
      <c r="E35" s="313"/>
      <c r="F35" s="3442"/>
      <c r="G35" s="806"/>
      <c r="H35" s="791"/>
      <c r="I35" s="172"/>
      <c r="J35" s="226"/>
      <c r="K35" s="791"/>
      <c r="L35" s="773"/>
      <c r="M35" s="3548"/>
      <c r="AH35" s="3432">
        <v>0</v>
      </c>
    </row>
    <row customHeight="1" ht="18.75" hidden="1">
      <c r="A36" s="286" t="s">
        <v>196</v>
      </c>
      <c r="B36" s="286" t="s">
        <v>197</v>
      </c>
      <c r="D36" s="3814"/>
      <c r="E36" s="313"/>
      <c r="F36" s="3442" t="str">
        <f>INDEX(PT_DIFFERENTIATION_VTAR,MATCH(A36,PT_DIFFERENTIATION_VTAR_ID,0))</f>
        <v>Тарифы на услуги по передаче тепловой энергии</v>
      </c>
      <c r="G36" s="3799" t="str">
        <f>INDEX(PT_DIFFERENTIATION_NTAR,MATCH(B36,PT_DIFFERENTIATION_NTAR_ID,0))</f>
        <v/>
      </c>
      <c r="H36" s="3628"/>
      <c r="I36" s="786"/>
      <c r="J36" s="787"/>
      <c r="K36" s="3800"/>
      <c r="L36" s="3628" t="s">
        <v>321</v>
      </c>
      <c r="M36" s="3548"/>
      <c r="AH36" s="3432">
        <v>0</v>
      </c>
    </row>
    <row customHeight="1" ht="18.75" hidden="1">
      <c r="C37" s="3802" t="s">
        <v>1167</v>
      </c>
      <c r="D37" s="3814"/>
      <c r="E37" s="313"/>
      <c r="F37" s="3442"/>
      <c r="G37" s="3799"/>
      <c r="H37" s="791"/>
      <c r="I37" s="172" t="s">
        <v>1168</v>
      </c>
      <c r="J37" s="226"/>
      <c r="K37" s="791"/>
      <c r="L37" s="773"/>
      <c r="M37" s="3548"/>
      <c r="AH37" s="3432">
        <v>0</v>
      </c>
    </row>
    <row customHeight="1" ht="0.75" hidden="1">
      <c r="C38" s="3802" t="s">
        <v>1173</v>
      </c>
      <c r="D38" s="3814"/>
      <c r="E38" s="313"/>
      <c r="F38" s="3442"/>
      <c r="G38" s="806"/>
      <c r="H38" s="791"/>
      <c r="I38" s="172"/>
      <c r="J38" s="226"/>
      <c r="K38" s="791"/>
      <c r="L38" s="773"/>
      <c r="M38" s="3548"/>
      <c r="AH38" s="3432">
        <v>0</v>
      </c>
    </row>
    <row customHeight="1" ht="18.75" hidden="1">
      <c r="A39" s="286" t="s">
        <v>202</v>
      </c>
      <c r="B39" s="286" t="s">
        <v>203</v>
      </c>
      <c r="D39" s="3814"/>
      <c r="E39" s="313"/>
      <c r="F39" s="3442" t="str">
        <f>INDEX(PT_DIFFERENTIATION_VTAR,MATCH(A39,PT_DIFFERENTIATION_VTAR_ID,0))</f>
        <v>Тарифы на услуги по передаче теплоносителя</v>
      </c>
      <c r="G39" s="3799" t="str">
        <f>INDEX(PT_DIFFERENTIATION_NTAR,MATCH(B39,PT_DIFFERENTIATION_NTAR_ID,0))</f>
        <v/>
      </c>
      <c r="H39" s="3628"/>
      <c r="I39" s="786"/>
      <c r="J39" s="787"/>
      <c r="K39" s="3800"/>
      <c r="L39" s="3628" t="s">
        <v>321</v>
      </c>
      <c r="M39" s="3548"/>
      <c r="AH39" s="3432">
        <v>0</v>
      </c>
    </row>
    <row customHeight="1" ht="18.75" hidden="1">
      <c r="C40" s="3802" t="s">
        <v>1167</v>
      </c>
      <c r="D40" s="3814"/>
      <c r="E40" s="313"/>
      <c r="F40" s="3442"/>
      <c r="G40" s="3799"/>
      <c r="H40" s="791"/>
      <c r="I40" s="172" t="s">
        <v>1168</v>
      </c>
      <c r="J40" s="226"/>
      <c r="K40" s="791"/>
      <c r="L40" s="773"/>
      <c r="M40" s="3548"/>
      <c r="AH40" s="3432">
        <v>0</v>
      </c>
    </row>
    <row customHeight="1" ht="0.75" hidden="1">
      <c r="C41" s="3802" t="s">
        <v>1173</v>
      </c>
      <c r="D41" s="3814"/>
      <c r="E41" s="313"/>
      <c r="F41" s="3442"/>
      <c r="G41" s="806"/>
      <c r="H41" s="791"/>
      <c r="I41" s="172"/>
      <c r="J41" s="226"/>
      <c r="K41" s="791"/>
      <c r="L41" s="773"/>
      <c r="M41" s="3548"/>
      <c r="AH41" s="3432">
        <v>0</v>
      </c>
    </row>
    <row customHeight="1" ht="18.75" hidden="1">
      <c r="A42" s="286" t="s">
        <v>208</v>
      </c>
      <c r="B42" s="286" t="s">
        <v>209</v>
      </c>
      <c r="D42" s="3814"/>
      <c r="E42" s="313"/>
      <c r="F42" s="3442" t="str">
        <f>INDEX(PT_DIFFERENTIATION_VTAR,MATCH(A42,PT_DIFFERENTIATION_VTAR_ID,0))</f>
        <v>Плата за услуги по поддержанию резервной тепловой мощности при отсутствии потребления тепловой энергии</v>
      </c>
      <c r="G42" s="3799" t="str">
        <f>INDEX(PT_DIFFERENTIATION_NTAR,MATCH(B42,PT_DIFFERENTIATION_NTAR_ID,0))</f>
        <v/>
      </c>
      <c r="H42" s="3628"/>
      <c r="I42" s="786"/>
      <c r="J42" s="787"/>
      <c r="K42" s="3800"/>
      <c r="L42" s="3628" t="s">
        <v>321</v>
      </c>
      <c r="M42" s="3548"/>
      <c r="AH42" s="3432">
        <v>0</v>
      </c>
    </row>
    <row customHeight="1" ht="18.75" hidden="1">
      <c r="C43" s="3802" t="s">
        <v>1167</v>
      </c>
      <c r="D43" s="3814"/>
      <c r="E43" s="313"/>
      <c r="F43" s="3442"/>
      <c r="G43" s="3799"/>
      <c r="H43" s="791"/>
      <c r="I43" s="172" t="s">
        <v>1168</v>
      </c>
      <c r="J43" s="226"/>
      <c r="K43" s="791"/>
      <c r="L43" s="773"/>
      <c r="M43" s="3548"/>
      <c r="AH43" s="3432">
        <v>0</v>
      </c>
    </row>
    <row customHeight="1" ht="0.75" hidden="1">
      <c r="C44" s="3802" t="s">
        <v>1173</v>
      </c>
      <c r="D44" s="3814"/>
      <c r="E44" s="313"/>
      <c r="F44" s="3442"/>
      <c r="G44" s="806"/>
      <c r="H44" s="791"/>
      <c r="I44" s="172"/>
      <c r="J44" s="226"/>
      <c r="K44" s="791"/>
      <c r="L44" s="773"/>
      <c r="M44" s="3548"/>
      <c r="AH44" s="3432">
        <v>0</v>
      </c>
    </row>
    <row customHeight="1" ht="18.75" hidden="1">
      <c r="A45" s="286" t="s">
        <v>214</v>
      </c>
      <c r="B45" s="286" t="s">
        <v>215</v>
      </c>
      <c r="D45" s="3814"/>
      <c r="E45" s="313"/>
      <c r="F45" s="3442" t="str">
        <f>INDEX(PT_DIFFERENTIATION_VTAR,MATCH(A45,PT_DIFFERENTIATION_VTAR_ID,0))</f>
        <v>Плата за подключение (технологическое присоединение) к системе теплоснабжения</v>
      </c>
      <c r="G45" s="3799" t="str">
        <f>INDEX(PT_DIFFERENTIATION_NTAR,MATCH(B45,PT_DIFFERENTIATION_NTAR_ID,0))</f>
        <v/>
      </c>
      <c r="H45" s="3628"/>
      <c r="I45" s="786"/>
      <c r="J45" s="787"/>
      <c r="K45" s="3800"/>
      <c r="L45" s="3628" t="s">
        <v>321</v>
      </c>
      <c r="M45" s="3548"/>
      <c r="AH45" s="3432">
        <v>0</v>
      </c>
    </row>
    <row customHeight="1" ht="18.75" hidden="1">
      <c r="C46" s="3802" t="s">
        <v>1167</v>
      </c>
      <c r="D46" s="3814"/>
      <c r="E46" s="313"/>
      <c r="F46" s="3442"/>
      <c r="G46" s="3799"/>
      <c r="H46" s="791"/>
      <c r="I46" s="172" t="s">
        <v>1168</v>
      </c>
      <c r="J46" s="226"/>
      <c r="K46" s="791"/>
      <c r="L46" s="773"/>
      <c r="M46" s="3548"/>
      <c r="AH46" s="3432">
        <v>0</v>
      </c>
    </row>
    <row customHeight="1" ht="0.75" hidden="1">
      <c r="C47" s="3802" t="s">
        <v>1173</v>
      </c>
      <c r="D47" s="3814"/>
      <c r="E47" s="313"/>
      <c r="F47" s="3442"/>
      <c r="G47" s="806"/>
      <c r="H47" s="791"/>
      <c r="I47" s="172"/>
      <c r="J47" s="226"/>
      <c r="K47" s="791"/>
      <c r="L47" s="773"/>
      <c r="M47" s="3548"/>
      <c r="AH47" s="3432">
        <v>0</v>
      </c>
    </row>
    <row customHeight="1" ht="18.75" hidden="1">
      <c r="A48" s="286" t="s">
        <v>220</v>
      </c>
      <c r="B48" s="286" t="s">
        <v>221</v>
      </c>
      <c r="D48" s="3814"/>
      <c r="E48" s="313"/>
      <c r="F48" s="3442" t="str">
        <f>INDEX(PT_DIFFERENTIATION_VTAR,MATCH(A48,PT_DIFFERENTIATION_VTAR_ID,0))</f>
        <v>Плата за подключение (технологическое присоединение) к системе теплоснабжения (индивидуальная)</v>
      </c>
      <c r="G48" s="3799" t="str">
        <f>INDEX(PT_DIFFERENTIATION_NTAR,MATCH(B48,PT_DIFFERENTIATION_NTAR_ID,0))</f>
        <v/>
      </c>
      <c r="H48" s="3628"/>
      <c r="I48" s="786"/>
      <c r="J48" s="787"/>
      <c r="K48" s="3800"/>
      <c r="L48" s="3628" t="s">
        <v>321</v>
      </c>
      <c r="M48" s="3548"/>
      <c r="AH48" s="3432">
        <v>0</v>
      </c>
    </row>
    <row customHeight="1" ht="18.75" hidden="1">
      <c r="C49" s="3802" t="s">
        <v>1167</v>
      </c>
      <c r="D49" s="3814"/>
      <c r="E49" s="313"/>
      <c r="F49" s="3442"/>
      <c r="G49" s="3799"/>
      <c r="H49" s="791"/>
      <c r="I49" s="172" t="s">
        <v>1168</v>
      </c>
      <c r="J49" s="226"/>
      <c r="K49" s="791"/>
      <c r="L49" s="773"/>
      <c r="M49" s="3548"/>
      <c r="AH49" s="3432">
        <v>0</v>
      </c>
    </row>
    <row customHeight="1" ht="0.75" hidden="1">
      <c r="C50" s="3802" t="s">
        <v>1173</v>
      </c>
      <c r="D50" s="3814"/>
      <c r="E50" s="313"/>
      <c r="F50" s="3442"/>
      <c r="G50" s="806"/>
      <c r="H50" s="791"/>
      <c r="I50" s="172"/>
      <c r="J50" s="226"/>
      <c r="K50" s="791"/>
      <c r="L50" s="773"/>
      <c r="M50" s="3548"/>
      <c r="AH50" s="3432">
        <v>0</v>
      </c>
    </row>
    <row customHeight="1" ht="18.75" hidden="1">
      <c r="A51" s="286" t="s">
        <v>240</v>
      </c>
      <c r="B51" s="286" t="s">
        <v>241</v>
      </c>
      <c r="D51" s="3814"/>
      <c r="E51" s="313"/>
      <c r="F51" s="3442" t="str">
        <f>INDEX(PT_DIFFERENTIATION_VTAR,MATCH(A51,PT_DIFFERENTIATION_VTAR_ID,0))</f>
        <v>Тариф на питьевую воду (питьевое водоснабжение)</v>
      </c>
      <c r="G51" s="3799" t="str">
        <f>INDEX(PT_DIFFERENTIATION_NTAR,MATCH(B51,PT_DIFFERENTIATION_NTAR_ID,0))</f>
        <v/>
      </c>
      <c r="H51" s="3628"/>
      <c r="I51" s="786"/>
      <c r="J51" s="787"/>
      <c r="K51" s="3800"/>
      <c r="L51" s="3628" t="s">
        <v>321</v>
      </c>
      <c r="M51" s="3548"/>
      <c r="AH51" s="3432">
        <v>0</v>
      </c>
    </row>
    <row customHeight="1" ht="18.75" hidden="1">
      <c r="C52" s="3802" t="s">
        <v>1167</v>
      </c>
      <c r="D52" s="3814"/>
      <c r="E52" s="313"/>
      <c r="F52" s="3442"/>
      <c r="G52" s="3799"/>
      <c r="H52" s="791"/>
      <c r="I52" s="172" t="s">
        <v>1168</v>
      </c>
      <c r="J52" s="226"/>
      <c r="K52" s="791"/>
      <c r="L52" s="773"/>
      <c r="M52" s="3548"/>
      <c r="AH52" s="3432">
        <v>0</v>
      </c>
    </row>
    <row customHeight="1" ht="0.75" hidden="1">
      <c r="C53" s="3802" t="s">
        <v>1173</v>
      </c>
      <c r="D53" s="3814"/>
      <c r="E53" s="313"/>
      <c r="F53" s="3442"/>
      <c r="G53" s="806"/>
      <c r="H53" s="791"/>
      <c r="I53" s="172"/>
      <c r="J53" s="226"/>
      <c r="K53" s="791"/>
      <c r="L53" s="773"/>
      <c r="M53" s="3548"/>
      <c r="AH53" s="3432">
        <v>0</v>
      </c>
    </row>
    <row customHeight="1" ht="18.75" hidden="1">
      <c r="A54" s="286" t="s">
        <v>245</v>
      </c>
      <c r="B54" s="286" t="s">
        <v>246</v>
      </c>
      <c r="D54" s="3814"/>
      <c r="E54" s="313"/>
      <c r="F54" s="3442" t="str">
        <f>INDEX(PT_DIFFERENTIATION_VTAR,MATCH(A54,PT_DIFFERENTIATION_VTAR_ID,0))</f>
        <v>Тариф на техническую воду</v>
      </c>
      <c r="G54" s="3799" t="str">
        <f>INDEX(PT_DIFFERENTIATION_NTAR,MATCH(B54,PT_DIFFERENTIATION_NTAR_ID,0))</f>
        <v/>
      </c>
      <c r="H54" s="3628"/>
      <c r="I54" s="786"/>
      <c r="J54" s="787"/>
      <c r="K54" s="3800"/>
      <c r="L54" s="3628" t="s">
        <v>321</v>
      </c>
      <c r="M54" s="3548"/>
      <c r="AH54" s="3432">
        <v>0</v>
      </c>
    </row>
    <row customHeight="1" ht="18.75" hidden="1">
      <c r="C55" s="3802" t="s">
        <v>1167</v>
      </c>
      <c r="D55" s="3814"/>
      <c r="E55" s="313"/>
      <c r="F55" s="3442"/>
      <c r="G55" s="3799"/>
      <c r="H55" s="791"/>
      <c r="I55" s="172" t="s">
        <v>1168</v>
      </c>
      <c r="J55" s="226"/>
      <c r="K55" s="791"/>
      <c r="L55" s="773"/>
      <c r="M55" s="3548"/>
      <c r="AH55" s="3432">
        <v>0</v>
      </c>
    </row>
    <row customHeight="1" ht="0.75" hidden="1">
      <c r="C56" s="3802" t="s">
        <v>1173</v>
      </c>
      <c r="D56" s="3814"/>
      <c r="E56" s="313"/>
      <c r="F56" s="3442"/>
      <c r="G56" s="806"/>
      <c r="H56" s="791"/>
      <c r="I56" s="172"/>
      <c r="J56" s="226"/>
      <c r="K56" s="791"/>
      <c r="L56" s="773"/>
      <c r="M56" s="3548"/>
      <c r="AH56" s="3432">
        <v>0</v>
      </c>
    </row>
    <row customHeight="1" ht="18.75" hidden="1">
      <c r="A57" s="286" t="s">
        <v>250</v>
      </c>
      <c r="B57" s="286" t="s">
        <v>251</v>
      </c>
      <c r="D57" s="3814"/>
      <c r="E57" s="313"/>
      <c r="F57" s="3442" t="str">
        <f>INDEX(PT_DIFFERENTIATION_VTAR,MATCH(A57,PT_DIFFERENTIATION_VTAR_ID,0))</f>
        <v>Тариф на транспортировку воды</v>
      </c>
      <c r="G57" s="3799" t="str">
        <f>INDEX(PT_DIFFERENTIATION_NTAR,MATCH(B57,PT_DIFFERENTIATION_NTAR_ID,0))</f>
        <v/>
      </c>
      <c r="H57" s="3628"/>
      <c r="I57" s="786"/>
      <c r="J57" s="787"/>
      <c r="K57" s="3800"/>
      <c r="L57" s="3628" t="s">
        <v>321</v>
      </c>
      <c r="M57" s="3548"/>
      <c r="AH57" s="3432">
        <v>0</v>
      </c>
    </row>
    <row customHeight="1" ht="18.75" hidden="1">
      <c r="C58" s="3802" t="s">
        <v>1167</v>
      </c>
      <c r="D58" s="3814"/>
      <c r="E58" s="313"/>
      <c r="F58" s="3442"/>
      <c r="G58" s="3799"/>
      <c r="H58" s="791"/>
      <c r="I58" s="172" t="s">
        <v>1168</v>
      </c>
      <c r="J58" s="226"/>
      <c r="K58" s="791"/>
      <c r="L58" s="773"/>
      <c r="M58" s="3548"/>
      <c r="AH58" s="3432">
        <v>0</v>
      </c>
    </row>
    <row customHeight="1" ht="0.75" hidden="1">
      <c r="C59" s="3802" t="s">
        <v>1173</v>
      </c>
      <c r="D59" s="3814"/>
      <c r="E59" s="313"/>
      <c r="F59" s="3442"/>
      <c r="G59" s="806"/>
      <c r="H59" s="791"/>
      <c r="I59" s="172"/>
      <c r="J59" s="226"/>
      <c r="K59" s="791"/>
      <c r="L59" s="773"/>
      <c r="M59" s="3548"/>
      <c r="AH59" s="3432">
        <v>0</v>
      </c>
    </row>
    <row customHeight="1" ht="18.75" hidden="1">
      <c r="A60" s="286" t="s">
        <v>255</v>
      </c>
      <c r="B60" s="286" t="s">
        <v>256</v>
      </c>
      <c r="D60" s="3814"/>
      <c r="E60" s="313"/>
      <c r="F60" s="3442" t="str">
        <f>INDEX(PT_DIFFERENTIATION_VTAR,MATCH(A60,PT_DIFFERENTIATION_VTAR_ID,0))</f>
        <v>Тариф на подвоз воды</v>
      </c>
      <c r="G60" s="3799" t="str">
        <f>INDEX(PT_DIFFERENTIATION_NTAR,MATCH(B60,PT_DIFFERENTIATION_NTAR_ID,0))</f>
        <v/>
      </c>
      <c r="H60" s="3628"/>
      <c r="I60" s="786"/>
      <c r="J60" s="787"/>
      <c r="K60" s="3800"/>
      <c r="L60" s="3628" t="s">
        <v>321</v>
      </c>
      <c r="M60" s="3548"/>
      <c r="AH60" s="3432">
        <v>0</v>
      </c>
    </row>
    <row customHeight="1" ht="18.75" hidden="1">
      <c r="C61" s="3802" t="s">
        <v>1167</v>
      </c>
      <c r="D61" s="3814"/>
      <c r="E61" s="313"/>
      <c r="F61" s="3442"/>
      <c r="G61" s="3799"/>
      <c r="H61" s="791"/>
      <c r="I61" s="172" t="s">
        <v>1168</v>
      </c>
      <c r="J61" s="226"/>
      <c r="K61" s="791"/>
      <c r="L61" s="773"/>
      <c r="M61" s="3548"/>
      <c r="AH61" s="3432">
        <v>0</v>
      </c>
    </row>
    <row customHeight="1" ht="0.75" hidden="1">
      <c r="C62" s="3802" t="s">
        <v>1173</v>
      </c>
      <c r="D62" s="3814"/>
      <c r="E62" s="313"/>
      <c r="F62" s="3442"/>
      <c r="G62" s="806"/>
      <c r="H62" s="791"/>
      <c r="I62" s="172"/>
      <c r="J62" s="226"/>
      <c r="K62" s="791"/>
      <c r="L62" s="773"/>
      <c r="M62" s="3548"/>
      <c r="AH62" s="3432">
        <v>0</v>
      </c>
    </row>
    <row customHeight="1" ht="18.75" hidden="1">
      <c r="A63" s="286" t="s">
        <v>260</v>
      </c>
      <c r="B63" s="286" t="s">
        <v>261</v>
      </c>
      <c r="D63" s="3814"/>
      <c r="E63" s="313"/>
      <c r="F63" s="34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3799" t="str">
        <f>INDEX(PT_DIFFERENTIATION_NTAR,MATCH(B63,PT_DIFFERENTIATION_NTAR_ID,0))</f>
        <v/>
      </c>
      <c r="H63" s="3628"/>
      <c r="I63" s="786"/>
      <c r="J63" s="787"/>
      <c r="K63" s="3800"/>
      <c r="L63" s="3628" t="s">
        <v>321</v>
      </c>
      <c r="M63" s="3548"/>
      <c r="AH63" s="3432">
        <v>0</v>
      </c>
    </row>
    <row customHeight="1" ht="18.75" hidden="1">
      <c r="C64" s="3802" t="s">
        <v>1167</v>
      </c>
      <c r="D64" s="3814"/>
      <c r="E64" s="313"/>
      <c r="F64" s="3442"/>
      <c r="G64" s="3799"/>
      <c r="H64" s="791"/>
      <c r="I64" s="172" t="s">
        <v>1168</v>
      </c>
      <c r="J64" s="226"/>
      <c r="K64" s="791"/>
      <c r="L64" s="773"/>
      <c r="M64" s="3548"/>
      <c r="AH64" s="3432">
        <v>0</v>
      </c>
    </row>
    <row customHeight="1" ht="0.75" hidden="1">
      <c r="C65" s="3802" t="s">
        <v>1173</v>
      </c>
      <c r="D65" s="3814"/>
      <c r="E65" s="313"/>
      <c r="F65" s="3442"/>
      <c r="G65" s="806"/>
      <c r="H65" s="791"/>
      <c r="I65" s="172"/>
      <c r="J65" s="226"/>
      <c r="K65" s="791"/>
      <c r="L65" s="773"/>
      <c r="M65" s="3548"/>
      <c r="AH65" s="3432">
        <v>0</v>
      </c>
    </row>
    <row customHeight="1" ht="18.75" hidden="1">
      <c r="A66" s="286" t="s">
        <v>265</v>
      </c>
      <c r="B66" s="286" t="s">
        <v>266</v>
      </c>
      <c r="D66" s="3814"/>
      <c r="E66" s="313"/>
      <c r="F66" s="3442" t="str">
        <f>INDEX(PT_DIFFERENTIATION_VTAR,MATCH(A66,PT_DIFFERENTIATION_VTAR_ID,0))</f>
        <v>Тариф на горячую воду (горячее водоснабжение)</v>
      </c>
      <c r="G66" s="3799" t="str">
        <f>INDEX(PT_DIFFERENTIATION_NTAR,MATCH(B66,PT_DIFFERENTIATION_NTAR_ID,0))</f>
        <v/>
      </c>
      <c r="H66" s="3628"/>
      <c r="I66" s="786"/>
      <c r="J66" s="787"/>
      <c r="K66" s="3800"/>
      <c r="L66" s="3628" t="s">
        <v>321</v>
      </c>
      <c r="M66" s="3548"/>
      <c r="AH66" s="3432">
        <v>0</v>
      </c>
    </row>
    <row customHeight="1" ht="18.75" hidden="1">
      <c r="C67" s="3802" t="s">
        <v>1167</v>
      </c>
      <c r="D67" s="3814"/>
      <c r="E67" s="313"/>
      <c r="F67" s="3442"/>
      <c r="G67" s="3799"/>
      <c r="H67" s="791"/>
      <c r="I67" s="172" t="s">
        <v>1168</v>
      </c>
      <c r="J67" s="226"/>
      <c r="K67" s="791"/>
      <c r="L67" s="773"/>
      <c r="M67" s="3548"/>
      <c r="AH67" s="3432">
        <v>0</v>
      </c>
    </row>
    <row customHeight="1" ht="0.75" hidden="1">
      <c r="C68" s="3802" t="s">
        <v>1173</v>
      </c>
      <c r="D68" s="3814"/>
      <c r="E68" s="313"/>
      <c r="F68" s="3442"/>
      <c r="G68" s="806"/>
      <c r="H68" s="791"/>
      <c r="I68" s="172"/>
      <c r="J68" s="226"/>
      <c r="K68" s="791"/>
      <c r="L68" s="773"/>
      <c r="M68" s="3548"/>
      <c r="AH68" s="3432">
        <v>0</v>
      </c>
    </row>
    <row customHeight="1" ht="18.75" hidden="1">
      <c r="A69" s="286" t="s">
        <v>270</v>
      </c>
      <c r="B69" s="286" t="s">
        <v>271</v>
      </c>
      <c r="D69" s="3814"/>
      <c r="E69" s="313"/>
      <c r="F69" s="3442" t="str">
        <f>INDEX(PT_DIFFERENTIATION_VTAR,MATCH(A69,PT_DIFFERENTIATION_VTAR_ID,0))</f>
        <v>Тариф на транспортировку горячей воды</v>
      </c>
      <c r="G69" s="3799" t="str">
        <f>INDEX(PT_DIFFERENTIATION_NTAR,MATCH(B69,PT_DIFFERENTIATION_NTAR_ID,0))</f>
        <v/>
      </c>
      <c r="H69" s="3628"/>
      <c r="I69" s="786"/>
      <c r="J69" s="787"/>
      <c r="K69" s="3800"/>
      <c r="L69" s="3628" t="s">
        <v>321</v>
      </c>
      <c r="M69" s="3548"/>
      <c r="AH69" s="3432">
        <v>0</v>
      </c>
    </row>
    <row customHeight="1" ht="18.75" hidden="1">
      <c r="C70" s="3802" t="s">
        <v>1167</v>
      </c>
      <c r="D70" s="3814"/>
      <c r="E70" s="313"/>
      <c r="F70" s="3442"/>
      <c r="G70" s="3799"/>
      <c r="H70" s="791"/>
      <c r="I70" s="172" t="s">
        <v>1168</v>
      </c>
      <c r="J70" s="226"/>
      <c r="K70" s="791"/>
      <c r="L70" s="773"/>
      <c r="M70" s="3548"/>
      <c r="AH70" s="3432">
        <v>0</v>
      </c>
    </row>
    <row customHeight="1" ht="0.75" hidden="1">
      <c r="C71" s="3802" t="s">
        <v>1173</v>
      </c>
      <c r="D71" s="3814"/>
      <c r="E71" s="313"/>
      <c r="F71" s="3442"/>
      <c r="G71" s="806"/>
      <c r="H71" s="791"/>
      <c r="I71" s="172"/>
      <c r="J71" s="226"/>
      <c r="K71" s="791"/>
      <c r="L71" s="773"/>
      <c r="M71" s="3548"/>
      <c r="AH71" s="3432">
        <v>0</v>
      </c>
    </row>
    <row customHeight="1" ht="18.75" hidden="1">
      <c r="A72" s="286" t="s">
        <v>275</v>
      </c>
      <c r="B72" s="286" t="s">
        <v>276</v>
      </c>
      <c r="D72" s="3814"/>
      <c r="E72" s="313"/>
      <c r="F72" s="3442" t="str">
        <f>INDEX(PT_DIFFERENTIATION_VTAR,MATCH(A72,PT_DIFFERENTIATION_VTAR_ID,0))</f>
        <v>Тариф на подключение (технологическое присоединение) к централизованной системе горячего водоснабжения</v>
      </c>
      <c r="G72" s="3799" t="str">
        <f>INDEX(PT_DIFFERENTIATION_NTAR,MATCH(B72,PT_DIFFERENTIATION_NTAR_ID,0))</f>
        <v/>
      </c>
      <c r="H72" s="3628"/>
      <c r="I72" s="786"/>
      <c r="J72" s="787"/>
      <c r="K72" s="3800"/>
      <c r="L72" s="3628" t="s">
        <v>321</v>
      </c>
      <c r="M72" s="3548"/>
      <c r="AH72" s="3432">
        <v>0</v>
      </c>
    </row>
    <row customHeight="1" ht="18.75" hidden="1">
      <c r="C73" s="3802" t="s">
        <v>1167</v>
      </c>
      <c r="D73" s="3814"/>
      <c r="E73" s="313"/>
      <c r="F73" s="3442"/>
      <c r="G73" s="3799"/>
      <c r="H73" s="791"/>
      <c r="I73" s="172" t="s">
        <v>1168</v>
      </c>
      <c r="J73" s="226"/>
      <c r="K73" s="791"/>
      <c r="L73" s="773"/>
      <c r="M73" s="3548"/>
      <c r="AH73" s="3432">
        <v>0</v>
      </c>
    </row>
    <row customHeight="1" ht="0.75" hidden="1">
      <c r="C74" s="3802" t="s">
        <v>1173</v>
      </c>
      <c r="D74" s="3814"/>
      <c r="E74" s="313"/>
      <c r="F74" s="3442"/>
      <c r="G74" s="806"/>
      <c r="H74" s="791"/>
      <c r="I74" s="172"/>
      <c r="J74" s="226"/>
      <c r="K74" s="791"/>
      <c r="L74" s="773"/>
      <c r="M74" s="3548"/>
      <c r="AH74" s="3432">
        <v>0</v>
      </c>
    </row>
    <row customHeight="1" ht="18.75" hidden="1">
      <c r="A75" s="286" t="s">
        <v>280</v>
      </c>
      <c r="B75" s="286" t="s">
        <v>281</v>
      </c>
      <c r="D75" s="3814"/>
      <c r="E75" s="313"/>
      <c r="F75" s="3442" t="str">
        <f>INDEX(PT_DIFFERENTIATION_VTAR,MATCH(A75,PT_DIFFERENTIATION_VTAR_ID,0))</f>
        <v>Тариф на водоотведение</v>
      </c>
      <c r="G75" s="3799" t="str">
        <f>INDEX(PT_DIFFERENTIATION_NTAR,MATCH(B75,PT_DIFFERENTIATION_NTAR_ID,0))</f>
        <v/>
      </c>
      <c r="H75" s="3628"/>
      <c r="I75" s="786"/>
      <c r="J75" s="787"/>
      <c r="K75" s="3800"/>
      <c r="L75" s="3628" t="s">
        <v>321</v>
      </c>
      <c r="M75" s="3548"/>
      <c r="AH75" s="3432">
        <v>0</v>
      </c>
    </row>
    <row customHeight="1" ht="18.75" hidden="1">
      <c r="C76" s="3802" t="s">
        <v>1167</v>
      </c>
      <c r="D76" s="3814"/>
      <c r="E76" s="313"/>
      <c r="F76" s="3442"/>
      <c r="G76" s="3799"/>
      <c r="H76" s="791"/>
      <c r="I76" s="172" t="s">
        <v>1168</v>
      </c>
      <c r="J76" s="226"/>
      <c r="K76" s="791"/>
      <c r="L76" s="773"/>
      <c r="M76" s="3548"/>
      <c r="AH76" s="3432">
        <v>0</v>
      </c>
    </row>
    <row customHeight="1" ht="0.75" hidden="1">
      <c r="C77" s="3802" t="s">
        <v>1173</v>
      </c>
      <c r="D77" s="3814"/>
      <c r="E77" s="313"/>
      <c r="F77" s="3442"/>
      <c r="G77" s="806"/>
      <c r="H77" s="791"/>
      <c r="I77" s="172"/>
      <c r="J77" s="226"/>
      <c r="K77" s="791"/>
      <c r="L77" s="773"/>
      <c r="M77" s="3548"/>
      <c r="AH77" s="3432">
        <v>0</v>
      </c>
    </row>
    <row customHeight="1" ht="18.75" hidden="1">
      <c r="A78" s="286" t="s">
        <v>285</v>
      </c>
      <c r="B78" s="286" t="s">
        <v>286</v>
      </c>
      <c r="D78" s="3814"/>
      <c r="E78" s="313"/>
      <c r="F78" s="3442" t="str">
        <f>INDEX(PT_DIFFERENTIATION_VTAR,MATCH(A78,PT_DIFFERENTIATION_VTAR_ID,0))</f>
        <v>Тариф на транспортировку сточных вод</v>
      </c>
      <c r="G78" s="3799" t="str">
        <f>INDEX(PT_DIFFERENTIATION_NTAR,MATCH(B78,PT_DIFFERENTIATION_NTAR_ID,0))</f>
        <v/>
      </c>
      <c r="H78" s="3628"/>
      <c r="I78" s="786"/>
      <c r="J78" s="787"/>
      <c r="K78" s="3800"/>
      <c r="L78" s="3628" t="s">
        <v>321</v>
      </c>
      <c r="M78" s="3548"/>
      <c r="AH78" s="3432">
        <v>0</v>
      </c>
    </row>
    <row customHeight="1" ht="18.75" hidden="1">
      <c r="C79" s="3802" t="s">
        <v>1167</v>
      </c>
      <c r="D79" s="3814"/>
      <c r="E79" s="313"/>
      <c r="F79" s="3442"/>
      <c r="G79" s="3799"/>
      <c r="H79" s="791"/>
      <c r="I79" s="172" t="s">
        <v>1168</v>
      </c>
      <c r="J79" s="226"/>
      <c r="K79" s="791"/>
      <c r="L79" s="773"/>
      <c r="M79" s="3548"/>
      <c r="AH79" s="3432">
        <v>0</v>
      </c>
    </row>
    <row customHeight="1" ht="0.75" hidden="1">
      <c r="C80" s="3802" t="s">
        <v>1173</v>
      </c>
      <c r="D80" s="3814"/>
      <c r="E80" s="313"/>
      <c r="F80" s="3442"/>
      <c r="G80" s="806"/>
      <c r="H80" s="791"/>
      <c r="I80" s="172"/>
      <c r="J80" s="226"/>
      <c r="K80" s="791"/>
      <c r="L80" s="773"/>
      <c r="M80" s="3548"/>
      <c r="AH80" s="3432">
        <v>0</v>
      </c>
    </row>
    <row customHeight="1" ht="18.75" hidden="1">
      <c r="A81" s="286" t="s">
        <v>290</v>
      </c>
      <c r="B81" s="286" t="s">
        <v>291</v>
      </c>
      <c r="D81" s="3814"/>
      <c r="E81" s="313"/>
      <c r="F81" s="3442" t="str">
        <f>INDEX(PT_DIFFERENTIATION_VTAR,MATCH(A81,PT_DIFFERENTIATION_VTAR_ID,0))</f>
        <v>Тариф на подключение (технологическое присоединение) к централизованной системе водоотведения</v>
      </c>
      <c r="G81" s="3799" t="str">
        <f>INDEX(PT_DIFFERENTIATION_NTAR,MATCH(B81,PT_DIFFERENTIATION_NTAR_ID,0))</f>
        <v/>
      </c>
      <c r="H81" s="3628"/>
      <c r="I81" s="786"/>
      <c r="J81" s="787"/>
      <c r="K81" s="3800"/>
      <c r="L81" s="3628" t="s">
        <v>321</v>
      </c>
      <c r="M81" s="3548"/>
      <c r="AH81" s="3432">
        <v>0</v>
      </c>
    </row>
    <row customHeight="1" ht="18.75" hidden="1">
      <c r="C82" s="3802" t="s">
        <v>1167</v>
      </c>
      <c r="D82" s="3814"/>
      <c r="E82" s="313"/>
      <c r="F82" s="3442"/>
      <c r="G82" s="3799"/>
      <c r="H82" s="791"/>
      <c r="I82" s="172" t="s">
        <v>1168</v>
      </c>
      <c r="J82" s="226"/>
      <c r="K82" s="791"/>
      <c r="L82" s="773"/>
      <c r="M82" s="3548"/>
      <c r="AH82" s="3432">
        <v>0</v>
      </c>
    </row>
    <row customHeight="1" ht="1.05">
      <c r="C83" s="3802" t="s">
        <v>1173</v>
      </c>
      <c r="D83" s="3814"/>
      <c r="E83" s="313"/>
      <c r="F83" s="3442"/>
      <c r="G83" s="806"/>
      <c r="H83" s="791"/>
      <c r="I83" s="172"/>
      <c r="J83" s="226"/>
      <c r="K83" s="791"/>
      <c r="L83" s="773"/>
      <c r="M83" s="3548"/>
      <c r="AH83" s="3432">
        <v>1</v>
      </c>
    </row>
    <row customHeight="1" ht="19.95">
      <c r="D84" s="3719"/>
      <c r="E84" s="313" t="s">
        <v>108</v>
      </c>
      <c r="F84" s="37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3765"/>
      <c r="H84" s="3765"/>
      <c r="I84" s="3765"/>
      <c r="J84" s="3765"/>
      <c r="K84" s="3765"/>
      <c r="L84" s="3765"/>
      <c r="M84" s="3816"/>
      <c r="AH84" s="3432">
        <v>19</v>
      </c>
    </row>
    <row customHeight="1" ht="35.699999999999996">
      <c r="D85" s="3719"/>
      <c r="E85" s="811"/>
      <c r="F85" s="3525" t="s">
        <v>321</v>
      </c>
      <c r="G85" s="3525" t="s">
        <v>321</v>
      </c>
      <c r="H85" s="3626" t="s">
        <v>321</v>
      </c>
      <c r="I85" s="3628"/>
      <c r="J85" s="3525" t="s">
        <v>321</v>
      </c>
      <c r="K85" s="3525" t="s">
        <v>321</v>
      </c>
      <c r="L85" s="812"/>
      <c r="M85" s="3764" t="s">
        <v>1174</v>
      </c>
      <c r="AH85" s="3432">
        <v>34</v>
      </c>
    </row>
    <row customHeight="1" ht="19.95">
      <c r="D86" s="3719"/>
      <c r="E86" s="313" t="s">
        <v>88</v>
      </c>
      <c r="F86" s="3765" t="s">
        <v>1175</v>
      </c>
      <c r="G86" s="3765"/>
      <c r="H86" s="3765"/>
      <c r="I86" s="3765"/>
      <c r="J86" s="3765"/>
      <c r="K86" s="3765"/>
      <c r="L86" s="3765"/>
      <c r="M86" s="3816"/>
      <c r="AH86" s="3432">
        <v>19</v>
      </c>
    </row>
    <row customHeight="1" ht="60.75" hidden="1">
      <c r="A87" s="286" t="s">
        <v>172</v>
      </c>
      <c r="B87" s="286" t="s">
        <v>173</v>
      </c>
      <c r="D87" s="3814"/>
      <c r="E87" s="313"/>
      <c r="F87" s="34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799" t="str">
        <f>INDEX(PT_DIFFERENTIATION_NTAR,MATCH(B87,PT_DIFFERENTIATION_NTAR_ID,0))</f>
        <v/>
      </c>
      <c r="H87" s="3628"/>
      <c r="I87" s="786"/>
      <c r="J87" s="787"/>
      <c r="K87" s="398"/>
      <c r="L87" s="3628" t="s">
        <v>321</v>
      </c>
      <c r="M87" s="35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432">
        <v>0</v>
      </c>
    </row>
    <row customHeight="1" ht="18.75" hidden="1">
      <c r="C88" s="3802" t="s">
        <v>1169</v>
      </c>
      <c r="D88" s="3814"/>
      <c r="E88" s="313"/>
      <c r="F88" s="3442"/>
      <c r="G88" s="3799"/>
      <c r="H88" s="791"/>
      <c r="I88" s="172" t="s">
        <v>1168</v>
      </c>
      <c r="J88" s="226"/>
      <c r="K88" s="791"/>
      <c r="L88" s="773"/>
      <c r="M88" s="3548"/>
      <c r="AH88" s="3432">
        <v>0</v>
      </c>
    </row>
    <row customHeight="1" ht="0.75" hidden="1">
      <c r="C89" s="3802" t="s">
        <v>1176</v>
      </c>
      <c r="D89" s="3814"/>
      <c r="E89" s="313"/>
      <c r="F89" s="3442"/>
      <c r="G89" s="806"/>
      <c r="H89" s="791"/>
      <c r="I89" s="172"/>
      <c r="J89" s="226"/>
      <c r="K89" s="791"/>
      <c r="L89" s="773"/>
      <c r="M89" s="3548"/>
      <c r="AH89" s="3432">
        <v>0</v>
      </c>
    </row>
    <row customHeight="1" ht="45" hidden="1">
      <c r="A90" s="286" t="s">
        <v>177</v>
      </c>
      <c r="B90" s="286" t="s">
        <v>178</v>
      </c>
      <c r="D90" s="3814"/>
      <c r="E90" s="313"/>
      <c r="F90" s="3442" t="str">
        <f>INDEX(PT_DIFFERENTIATION_VTAR,MATCH(A90,PT_DIFFERENTIATION_VTAR_ID,0))</f>
        <v/>
      </c>
      <c r="G90" s="3799" t="str">
        <f>INDEX(PT_DIFFERENTIATION_NTAR,MATCH(B90,PT_DIFFERENTIATION_NTAR_ID,0))</f>
        <v/>
      </c>
      <c r="H90" s="3628"/>
      <c r="I90" s="786"/>
      <c r="J90" s="787"/>
      <c r="K90" s="398"/>
      <c r="L90" s="3628" t="s">
        <v>321</v>
      </c>
      <c r="M90" s="3550"/>
      <c r="AH90" s="3432">
        <v>0</v>
      </c>
    </row>
    <row customHeight="1" ht="18.75" hidden="1">
      <c r="C91" s="3802" t="s">
        <v>1169</v>
      </c>
      <c r="D91" s="3814"/>
      <c r="E91" s="313"/>
      <c r="F91" s="3442"/>
      <c r="G91" s="3799"/>
      <c r="H91" s="791"/>
      <c r="I91" s="172" t="s">
        <v>1168</v>
      </c>
      <c r="J91" s="226"/>
      <c r="K91" s="791"/>
      <c r="L91" s="773"/>
      <c r="M91" s="3548"/>
      <c r="AH91" s="3432">
        <v>0</v>
      </c>
    </row>
    <row customHeight="1" ht="0.75" hidden="1">
      <c r="C92" s="3802" t="s">
        <v>1176</v>
      </c>
      <c r="D92" s="3814"/>
      <c r="E92" s="313"/>
      <c r="F92" s="3442"/>
      <c r="G92" s="806"/>
      <c r="H92" s="791"/>
      <c r="I92" s="172"/>
      <c r="J92" s="226"/>
      <c r="K92" s="791"/>
      <c r="L92" s="773"/>
      <c r="M92" s="3795"/>
      <c r="AH92" s="3432">
        <v>0</v>
      </c>
    </row>
    <row customHeight="1" ht="45" hidden="1">
      <c r="A93" s="286" t="s">
        <v>184</v>
      </c>
      <c r="B93" s="286" t="s">
        <v>185</v>
      </c>
      <c r="D93" s="3814"/>
      <c r="E93" s="313"/>
      <c r="F93" s="34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799" t="str">
        <f>INDEX(PT_DIFFERENTIATION_NTAR,MATCH(B93,PT_DIFFERENTIATION_NTAR_ID,0))</f>
        <v/>
      </c>
      <c r="H93" s="3628"/>
      <c r="I93" s="786"/>
      <c r="J93" s="787"/>
      <c r="K93" s="398"/>
      <c r="L93" s="3628" t="s">
        <v>321</v>
      </c>
      <c r="M93" s="3795"/>
      <c r="AH93" s="3432">
        <v>0</v>
      </c>
    </row>
    <row customHeight="1" ht="18.75" hidden="1">
      <c r="C94" s="3802" t="s">
        <v>1169</v>
      </c>
      <c r="D94" s="3814"/>
      <c r="E94" s="313"/>
      <c r="F94" s="3442"/>
      <c r="G94" s="3799"/>
      <c r="H94" s="791"/>
      <c r="I94" s="172" t="s">
        <v>1168</v>
      </c>
      <c r="J94" s="226"/>
      <c r="K94" s="791"/>
      <c r="L94" s="773"/>
      <c r="M94" s="3795"/>
      <c r="AH94" s="3432">
        <v>0</v>
      </c>
    </row>
    <row customHeight="1" ht="0.75" hidden="1">
      <c r="C95" s="3802" t="s">
        <v>1176</v>
      </c>
      <c r="D95" s="3814"/>
      <c r="E95" s="313"/>
      <c r="F95" s="3442"/>
      <c r="G95" s="806"/>
      <c r="H95" s="791"/>
      <c r="I95" s="172"/>
      <c r="J95" s="226"/>
      <c r="K95" s="791"/>
      <c r="L95" s="773"/>
      <c r="M95" s="3795"/>
      <c r="AH95" s="3432">
        <v>0</v>
      </c>
    </row>
    <row customHeight="1" ht="45" hidden="1">
      <c r="A96" s="286" t="s">
        <v>190</v>
      </c>
      <c r="B96" s="286" t="s">
        <v>191</v>
      </c>
      <c r="D96" s="3814"/>
      <c r="E96" s="313"/>
      <c r="F96" s="34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799" t="str">
        <f>INDEX(PT_DIFFERENTIATION_NTAR,MATCH(B96,PT_DIFFERENTIATION_NTAR_ID,0))</f>
        <v/>
      </c>
      <c r="H96" s="3628"/>
      <c r="I96" s="786"/>
      <c r="J96" s="787"/>
      <c r="K96" s="398"/>
      <c r="L96" s="3628" t="s">
        <v>321</v>
      </c>
      <c r="M96" s="3795"/>
      <c r="AH96" s="3432">
        <v>0</v>
      </c>
    </row>
    <row customHeight="1" ht="18.75" hidden="1">
      <c r="C97" s="3802" t="s">
        <v>1169</v>
      </c>
      <c r="D97" s="3814"/>
      <c r="E97" s="313"/>
      <c r="F97" s="3442"/>
      <c r="G97" s="3799"/>
      <c r="H97" s="791"/>
      <c r="I97" s="172" t="s">
        <v>1168</v>
      </c>
      <c r="J97" s="226"/>
      <c r="K97" s="791"/>
      <c r="L97" s="773"/>
      <c r="M97" s="3795"/>
      <c r="AH97" s="3432">
        <v>0</v>
      </c>
    </row>
    <row customHeight="1" ht="0.75" hidden="1">
      <c r="C98" s="3802" t="s">
        <v>1176</v>
      </c>
      <c r="D98" s="3814"/>
      <c r="E98" s="313"/>
      <c r="F98" s="3442"/>
      <c r="G98" s="806"/>
      <c r="H98" s="791"/>
      <c r="I98" s="172"/>
      <c r="J98" s="226"/>
      <c r="K98" s="791"/>
      <c r="L98" s="773"/>
      <c r="M98" s="3795"/>
      <c r="AH98" s="3432">
        <v>0</v>
      </c>
    </row>
    <row customHeight="1" ht="18.75" hidden="1">
      <c r="A99" s="286" t="s">
        <v>196</v>
      </c>
      <c r="B99" s="286" t="s">
        <v>197</v>
      </c>
      <c r="D99" s="3814"/>
      <c r="E99" s="313"/>
      <c r="F99" s="3442" t="str">
        <f>INDEX(PT_DIFFERENTIATION_VTAR,MATCH(A99,PT_DIFFERENTIATION_VTAR_ID,0))</f>
        <v>Тарифы на услуги по передаче тепловой энергии</v>
      </c>
      <c r="G99" s="3799" t="str">
        <f>INDEX(PT_DIFFERENTIATION_NTAR,MATCH(B99,PT_DIFFERENTIATION_NTAR_ID,0))</f>
        <v/>
      </c>
      <c r="H99" s="3628"/>
      <c r="I99" s="786"/>
      <c r="J99" s="787"/>
      <c r="K99" s="398"/>
      <c r="L99" s="3628" t="s">
        <v>321</v>
      </c>
      <c r="M99" s="3795"/>
      <c r="AH99" s="3432">
        <v>0</v>
      </c>
    </row>
    <row customHeight="1" ht="18.75" hidden="1">
      <c r="C100" s="3802" t="s">
        <v>1169</v>
      </c>
      <c r="D100" s="3814"/>
      <c r="E100" s="313"/>
      <c r="F100" s="3442"/>
      <c r="G100" s="3799"/>
      <c r="H100" s="791"/>
      <c r="I100" s="172" t="s">
        <v>1168</v>
      </c>
      <c r="J100" s="226"/>
      <c r="K100" s="791"/>
      <c r="L100" s="773"/>
      <c r="M100" s="3795"/>
      <c r="AH100" s="3432">
        <v>0</v>
      </c>
    </row>
    <row customHeight="1" ht="0.75" hidden="1">
      <c r="C101" s="3802" t="s">
        <v>1176</v>
      </c>
      <c r="D101" s="3814"/>
      <c r="E101" s="313"/>
      <c r="F101" s="3442"/>
      <c r="G101" s="806"/>
      <c r="H101" s="791"/>
      <c r="I101" s="172"/>
      <c r="J101" s="226"/>
      <c r="K101" s="791"/>
      <c r="L101" s="773"/>
      <c r="M101" s="3795"/>
      <c r="AH101" s="3432">
        <v>0</v>
      </c>
    </row>
    <row customHeight="1" ht="18.75" hidden="1">
      <c r="A102" s="286" t="s">
        <v>202</v>
      </c>
      <c r="B102" s="286" t="s">
        <v>203</v>
      </c>
      <c r="D102" s="3814"/>
      <c r="E102" s="313"/>
      <c r="F102" s="3442" t="str">
        <f>INDEX(PT_DIFFERENTIATION_VTAR,MATCH(A102,PT_DIFFERENTIATION_VTAR_ID,0))</f>
        <v>Тарифы на услуги по передаче теплоносителя</v>
      </c>
      <c r="G102" s="3799" t="str">
        <f>INDEX(PT_DIFFERENTIATION_NTAR,MATCH(B102,PT_DIFFERENTIATION_NTAR_ID,0))</f>
        <v/>
      </c>
      <c r="H102" s="3628"/>
      <c r="I102" s="786"/>
      <c r="J102" s="787"/>
      <c r="K102" s="398"/>
      <c r="L102" s="3628" t="s">
        <v>321</v>
      </c>
      <c r="M102" s="3795"/>
      <c r="AH102" s="3432">
        <v>0</v>
      </c>
    </row>
    <row customHeight="1" ht="18.75" hidden="1">
      <c r="C103" s="3802" t="s">
        <v>1169</v>
      </c>
      <c r="D103" s="3814"/>
      <c r="E103" s="313"/>
      <c r="F103" s="3442"/>
      <c r="G103" s="3799"/>
      <c r="H103" s="791"/>
      <c r="I103" s="172" t="s">
        <v>1168</v>
      </c>
      <c r="J103" s="226"/>
      <c r="K103" s="791"/>
      <c r="L103" s="773"/>
      <c r="M103" s="3795"/>
      <c r="AH103" s="3432">
        <v>0</v>
      </c>
    </row>
    <row customHeight="1" ht="0.75" hidden="1">
      <c r="C104" s="3802" t="s">
        <v>1176</v>
      </c>
      <c r="D104" s="3814"/>
      <c r="E104" s="313"/>
      <c r="F104" s="3442"/>
      <c r="G104" s="806"/>
      <c r="H104" s="791"/>
      <c r="I104" s="172"/>
      <c r="J104" s="226"/>
      <c r="K104" s="791"/>
      <c r="L104" s="773"/>
      <c r="M104" s="3795"/>
      <c r="AH104" s="3432">
        <v>0</v>
      </c>
    </row>
    <row customHeight="1" ht="18.75" hidden="1">
      <c r="A105" s="286" t="s">
        <v>208</v>
      </c>
      <c r="B105" s="286" t="s">
        <v>209</v>
      </c>
      <c r="D105" s="3814"/>
      <c r="E105" s="313"/>
      <c r="F105" s="34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799" t="str">
        <f>INDEX(PT_DIFFERENTIATION_NTAR,MATCH(B105,PT_DIFFERENTIATION_NTAR_ID,0))</f>
        <v/>
      </c>
      <c r="H105" s="3628"/>
      <c r="I105" s="786"/>
      <c r="J105" s="787"/>
      <c r="K105" s="398"/>
      <c r="L105" s="3628" t="s">
        <v>321</v>
      </c>
      <c r="M105" s="3795"/>
      <c r="AH105" s="3432">
        <v>0</v>
      </c>
    </row>
    <row customHeight="1" ht="18.75" hidden="1">
      <c r="C106" s="3802" t="s">
        <v>1169</v>
      </c>
      <c r="D106" s="3814"/>
      <c r="E106" s="313"/>
      <c r="F106" s="3442"/>
      <c r="G106" s="3799"/>
      <c r="H106" s="791"/>
      <c r="I106" s="172" t="s">
        <v>1168</v>
      </c>
      <c r="J106" s="226"/>
      <c r="K106" s="791"/>
      <c r="L106" s="773"/>
      <c r="M106" s="3795"/>
      <c r="AH106" s="3432">
        <v>0</v>
      </c>
    </row>
    <row customHeight="1" ht="0.75" hidden="1">
      <c r="C107" s="3802" t="s">
        <v>1176</v>
      </c>
      <c r="D107" s="3814"/>
      <c r="E107" s="313"/>
      <c r="F107" s="3442"/>
      <c r="G107" s="806"/>
      <c r="H107" s="791"/>
      <c r="I107" s="172"/>
      <c r="J107" s="226"/>
      <c r="K107" s="791"/>
      <c r="L107" s="773"/>
      <c r="M107" s="3795"/>
      <c r="AH107" s="3432">
        <v>0</v>
      </c>
    </row>
    <row customHeight="1" ht="18.75" hidden="1">
      <c r="A108" s="286" t="s">
        <v>214</v>
      </c>
      <c r="B108" s="286" t="s">
        <v>215</v>
      </c>
      <c r="D108" s="3814"/>
      <c r="E108" s="313"/>
      <c r="F108" s="3442" t="str">
        <f>INDEX(PT_DIFFERENTIATION_VTAR,MATCH(A108,PT_DIFFERENTIATION_VTAR_ID,0))</f>
        <v>Плата за подключение (технологическое присоединение) к системе теплоснабжения</v>
      </c>
      <c r="G108" s="3799" t="str">
        <f>INDEX(PT_DIFFERENTIATION_NTAR,MATCH(B108,PT_DIFFERENTIATION_NTAR_ID,0))</f>
        <v/>
      </c>
      <c r="H108" s="3628"/>
      <c r="I108" s="786"/>
      <c r="J108" s="787"/>
      <c r="K108" s="398"/>
      <c r="L108" s="3628" t="s">
        <v>321</v>
      </c>
      <c r="M108" s="3795"/>
      <c r="AH108" s="3432">
        <v>0</v>
      </c>
    </row>
    <row customHeight="1" ht="18.75" hidden="1">
      <c r="C109" s="3802" t="s">
        <v>1169</v>
      </c>
      <c r="D109" s="3814"/>
      <c r="E109" s="313"/>
      <c r="F109" s="3442"/>
      <c r="G109" s="3799"/>
      <c r="H109" s="791"/>
      <c r="I109" s="172" t="s">
        <v>1168</v>
      </c>
      <c r="J109" s="226"/>
      <c r="K109" s="791"/>
      <c r="L109" s="773"/>
      <c r="M109" s="3795"/>
      <c r="AH109" s="3432">
        <v>0</v>
      </c>
    </row>
    <row customHeight="1" ht="0.75" hidden="1">
      <c r="C110" s="3802" t="s">
        <v>1176</v>
      </c>
      <c r="D110" s="3814"/>
      <c r="E110" s="313"/>
      <c r="F110" s="3442"/>
      <c r="G110" s="806"/>
      <c r="H110" s="791"/>
      <c r="I110" s="172"/>
      <c r="J110" s="226"/>
      <c r="K110" s="791"/>
      <c r="L110" s="773"/>
      <c r="M110" s="3795"/>
      <c r="AH110" s="3432">
        <v>0</v>
      </c>
    </row>
    <row customHeight="1" ht="18.75" hidden="1">
      <c r="A111" s="286" t="s">
        <v>220</v>
      </c>
      <c r="B111" s="286" t="s">
        <v>221</v>
      </c>
      <c r="D111" s="3814"/>
      <c r="E111" s="313"/>
      <c r="F111" s="3442" t="str">
        <f>INDEX(PT_DIFFERENTIATION_VTAR,MATCH(A111,PT_DIFFERENTIATION_VTAR_ID,0))</f>
        <v>Плата за подключение (технологическое присоединение) к системе теплоснабжения (индивидуальная)</v>
      </c>
      <c r="G111" s="3799" t="str">
        <f>INDEX(PT_DIFFERENTIATION_NTAR,MATCH(B111,PT_DIFFERENTIATION_NTAR_ID,0))</f>
        <v/>
      </c>
      <c r="H111" s="3628"/>
      <c r="I111" s="786"/>
      <c r="J111" s="787"/>
      <c r="K111" s="398"/>
      <c r="L111" s="3628" t="s">
        <v>321</v>
      </c>
      <c r="M111" s="3795"/>
      <c r="AH111" s="3432">
        <v>0</v>
      </c>
    </row>
    <row customHeight="1" ht="18.75" hidden="1">
      <c r="C112" s="3802" t="s">
        <v>1169</v>
      </c>
      <c r="D112" s="3814"/>
      <c r="E112" s="313"/>
      <c r="F112" s="3442"/>
      <c r="G112" s="3799"/>
      <c r="H112" s="791"/>
      <c r="I112" s="172" t="s">
        <v>1168</v>
      </c>
      <c r="J112" s="226"/>
      <c r="K112" s="791"/>
      <c r="L112" s="773"/>
      <c r="M112" s="3795"/>
      <c r="AH112" s="3432">
        <v>0</v>
      </c>
    </row>
    <row customHeight="1" ht="0.75" hidden="1">
      <c r="C113" s="3802" t="s">
        <v>1176</v>
      </c>
      <c r="D113" s="3814"/>
      <c r="E113" s="313"/>
      <c r="F113" s="3442"/>
      <c r="G113" s="806"/>
      <c r="H113" s="791"/>
      <c r="I113" s="172"/>
      <c r="J113" s="226"/>
      <c r="K113" s="791"/>
      <c r="L113" s="773"/>
      <c r="M113" s="3795"/>
      <c r="AH113" s="3432">
        <v>0</v>
      </c>
    </row>
    <row customHeight="1" ht="18.75" hidden="1">
      <c r="A114" s="286" t="s">
        <v>240</v>
      </c>
      <c r="B114" s="286" t="s">
        <v>241</v>
      </c>
      <c r="D114" s="3814"/>
      <c r="E114" s="313"/>
      <c r="F114" s="3442" t="str">
        <f>INDEX(PT_DIFFERENTIATION_VTAR,MATCH(A114,PT_DIFFERENTIATION_VTAR_ID,0))</f>
        <v>Тариф на питьевую воду (питьевое водоснабжение)</v>
      </c>
      <c r="G114" s="3799" t="str">
        <f>INDEX(PT_DIFFERENTIATION_NTAR,MATCH(B114,PT_DIFFERENTIATION_NTAR_ID,0))</f>
        <v/>
      </c>
      <c r="H114" s="3628"/>
      <c r="I114" s="786"/>
      <c r="J114" s="787"/>
      <c r="K114" s="398"/>
      <c r="L114" s="3628" t="s">
        <v>321</v>
      </c>
      <c r="M114" s="3795"/>
      <c r="AH114" s="3432">
        <v>0</v>
      </c>
    </row>
    <row customHeight="1" ht="18.75" hidden="1">
      <c r="C115" s="3802" t="s">
        <v>1169</v>
      </c>
      <c r="D115" s="3814"/>
      <c r="E115" s="313"/>
      <c r="F115" s="3442"/>
      <c r="G115" s="3799"/>
      <c r="H115" s="791"/>
      <c r="I115" s="172" t="s">
        <v>1168</v>
      </c>
      <c r="J115" s="226"/>
      <c r="K115" s="791"/>
      <c r="L115" s="773"/>
      <c r="M115" s="3795"/>
      <c r="AH115" s="3432">
        <v>0</v>
      </c>
    </row>
    <row customHeight="1" ht="0.75" hidden="1">
      <c r="C116" s="3802" t="s">
        <v>1176</v>
      </c>
      <c r="D116" s="3814"/>
      <c r="E116" s="313"/>
      <c r="F116" s="3442"/>
      <c r="G116" s="806"/>
      <c r="H116" s="791"/>
      <c r="I116" s="172"/>
      <c r="J116" s="226"/>
      <c r="K116" s="791"/>
      <c r="L116" s="773"/>
      <c r="M116" s="3795"/>
      <c r="AH116" s="3432">
        <v>0</v>
      </c>
    </row>
    <row customHeight="1" ht="18.75" hidden="1">
      <c r="A117" s="286" t="s">
        <v>245</v>
      </c>
      <c r="B117" s="286" t="s">
        <v>246</v>
      </c>
      <c r="D117" s="3814"/>
      <c r="E117" s="313"/>
      <c r="F117" s="3442" t="str">
        <f>INDEX(PT_DIFFERENTIATION_VTAR,MATCH(A117,PT_DIFFERENTIATION_VTAR_ID,0))</f>
        <v>Тариф на техническую воду</v>
      </c>
      <c r="G117" s="3799" t="str">
        <f>INDEX(PT_DIFFERENTIATION_NTAR,MATCH(B117,PT_DIFFERENTIATION_NTAR_ID,0))</f>
        <v/>
      </c>
      <c r="H117" s="3628"/>
      <c r="I117" s="786"/>
      <c r="J117" s="787"/>
      <c r="K117" s="398"/>
      <c r="L117" s="3628" t="s">
        <v>321</v>
      </c>
      <c r="M117" s="3795"/>
      <c r="AH117" s="3432">
        <v>0</v>
      </c>
    </row>
    <row customHeight="1" ht="18.75" hidden="1">
      <c r="C118" s="3802" t="s">
        <v>1169</v>
      </c>
      <c r="D118" s="3814"/>
      <c r="E118" s="313"/>
      <c r="F118" s="3442"/>
      <c r="G118" s="3799"/>
      <c r="H118" s="791"/>
      <c r="I118" s="172" t="s">
        <v>1168</v>
      </c>
      <c r="J118" s="226"/>
      <c r="K118" s="791"/>
      <c r="L118" s="773"/>
      <c r="M118" s="3795"/>
      <c r="AH118" s="3432">
        <v>0</v>
      </c>
    </row>
    <row customHeight="1" ht="0.75" hidden="1">
      <c r="C119" s="3802" t="s">
        <v>1176</v>
      </c>
      <c r="D119" s="3814"/>
      <c r="E119" s="313"/>
      <c r="F119" s="3442"/>
      <c r="G119" s="806"/>
      <c r="H119" s="791"/>
      <c r="I119" s="172"/>
      <c r="J119" s="226"/>
      <c r="K119" s="791"/>
      <c r="L119" s="773"/>
      <c r="M119" s="3795"/>
      <c r="AH119" s="3432">
        <v>0</v>
      </c>
    </row>
    <row customHeight="1" ht="18.75" hidden="1">
      <c r="A120" s="286" t="s">
        <v>250</v>
      </c>
      <c r="B120" s="286" t="s">
        <v>251</v>
      </c>
      <c r="D120" s="3814"/>
      <c r="E120" s="313"/>
      <c r="F120" s="3442" t="str">
        <f>INDEX(PT_DIFFERENTIATION_VTAR,MATCH(A120,PT_DIFFERENTIATION_VTAR_ID,0))</f>
        <v>Тариф на транспортировку воды</v>
      </c>
      <c r="G120" s="3799" t="str">
        <f>INDEX(PT_DIFFERENTIATION_NTAR,MATCH(B120,PT_DIFFERENTIATION_NTAR_ID,0))</f>
        <v/>
      </c>
      <c r="H120" s="3628"/>
      <c r="I120" s="786"/>
      <c r="J120" s="787"/>
      <c r="K120" s="398"/>
      <c r="L120" s="3628" t="s">
        <v>321</v>
      </c>
      <c r="M120" s="3795"/>
      <c r="AH120" s="3432">
        <v>0</v>
      </c>
    </row>
    <row customHeight="1" ht="18.75" hidden="1">
      <c r="C121" s="3802" t="s">
        <v>1169</v>
      </c>
      <c r="D121" s="3814"/>
      <c r="E121" s="313"/>
      <c r="F121" s="3442"/>
      <c r="G121" s="3799"/>
      <c r="H121" s="791"/>
      <c r="I121" s="172" t="s">
        <v>1168</v>
      </c>
      <c r="J121" s="226"/>
      <c r="K121" s="791"/>
      <c r="L121" s="773"/>
      <c r="M121" s="3795"/>
      <c r="AH121" s="3432">
        <v>0</v>
      </c>
    </row>
    <row customHeight="1" ht="0.75" hidden="1">
      <c r="C122" s="3802" t="s">
        <v>1176</v>
      </c>
      <c r="D122" s="3814"/>
      <c r="E122" s="313"/>
      <c r="F122" s="3442"/>
      <c r="G122" s="806"/>
      <c r="H122" s="791"/>
      <c r="I122" s="172"/>
      <c r="J122" s="226"/>
      <c r="K122" s="791"/>
      <c r="L122" s="773"/>
      <c r="M122" s="3795"/>
      <c r="AH122" s="3432">
        <v>0</v>
      </c>
    </row>
    <row customHeight="1" ht="18.75" hidden="1">
      <c r="A123" s="286" t="s">
        <v>255</v>
      </c>
      <c r="B123" s="286" t="s">
        <v>256</v>
      </c>
      <c r="D123" s="3814"/>
      <c r="E123" s="313"/>
      <c r="F123" s="3442" t="str">
        <f>INDEX(PT_DIFFERENTIATION_VTAR,MATCH(A123,PT_DIFFERENTIATION_VTAR_ID,0))</f>
        <v>Тариф на подвоз воды</v>
      </c>
      <c r="G123" s="3799" t="str">
        <f>INDEX(PT_DIFFERENTIATION_NTAR,MATCH(B123,PT_DIFFERENTIATION_NTAR_ID,0))</f>
        <v/>
      </c>
      <c r="H123" s="3628"/>
      <c r="I123" s="786"/>
      <c r="J123" s="787"/>
      <c r="K123" s="398"/>
      <c r="L123" s="3628" t="s">
        <v>321</v>
      </c>
      <c r="M123" s="3795"/>
      <c r="AH123" s="3432">
        <v>0</v>
      </c>
    </row>
    <row customHeight="1" ht="18.75" hidden="1">
      <c r="C124" s="3802" t="s">
        <v>1169</v>
      </c>
      <c r="D124" s="3814"/>
      <c r="E124" s="313"/>
      <c r="F124" s="3442"/>
      <c r="G124" s="3799"/>
      <c r="H124" s="791"/>
      <c r="I124" s="172" t="s">
        <v>1168</v>
      </c>
      <c r="J124" s="226"/>
      <c r="K124" s="791"/>
      <c r="L124" s="773"/>
      <c r="M124" s="3795"/>
      <c r="AH124" s="3432">
        <v>0</v>
      </c>
    </row>
    <row customHeight="1" ht="0.75" hidden="1">
      <c r="C125" s="3802" t="s">
        <v>1176</v>
      </c>
      <c r="D125" s="3814"/>
      <c r="E125" s="313"/>
      <c r="F125" s="3442"/>
      <c r="G125" s="806"/>
      <c r="H125" s="791"/>
      <c r="I125" s="172"/>
      <c r="J125" s="226"/>
      <c r="K125" s="791"/>
      <c r="L125" s="773"/>
      <c r="M125" s="3795"/>
      <c r="AH125" s="3432">
        <v>0</v>
      </c>
    </row>
    <row customHeight="1" ht="18.75" hidden="1">
      <c r="A126" s="286" t="s">
        <v>260</v>
      </c>
      <c r="B126" s="286" t="s">
        <v>261</v>
      </c>
      <c r="D126" s="3814"/>
      <c r="E126" s="313"/>
      <c r="F126" s="34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799" t="str">
        <f>INDEX(PT_DIFFERENTIATION_NTAR,MATCH(B126,PT_DIFFERENTIATION_NTAR_ID,0))</f>
        <v/>
      </c>
      <c r="H126" s="3628"/>
      <c r="I126" s="786"/>
      <c r="J126" s="787"/>
      <c r="K126" s="398"/>
      <c r="L126" s="3628" t="s">
        <v>321</v>
      </c>
      <c r="M126" s="3795"/>
      <c r="AH126" s="3432">
        <v>0</v>
      </c>
    </row>
    <row customHeight="1" ht="18.75" hidden="1">
      <c r="C127" s="3802" t="s">
        <v>1169</v>
      </c>
      <c r="D127" s="3814"/>
      <c r="E127" s="313"/>
      <c r="F127" s="3442"/>
      <c r="G127" s="3799"/>
      <c r="H127" s="791"/>
      <c r="I127" s="172" t="s">
        <v>1168</v>
      </c>
      <c r="J127" s="226"/>
      <c r="K127" s="791"/>
      <c r="L127" s="773"/>
      <c r="M127" s="3795"/>
      <c r="AH127" s="3432">
        <v>0</v>
      </c>
    </row>
    <row customHeight="1" ht="0.75" hidden="1">
      <c r="C128" s="3802" t="s">
        <v>1176</v>
      </c>
      <c r="D128" s="3814"/>
      <c r="E128" s="313"/>
      <c r="F128" s="3442"/>
      <c r="G128" s="806"/>
      <c r="H128" s="791"/>
      <c r="I128" s="172"/>
      <c r="J128" s="226"/>
      <c r="K128" s="791"/>
      <c r="L128" s="773"/>
      <c r="M128" s="3795"/>
      <c r="AH128" s="3432">
        <v>0</v>
      </c>
    </row>
    <row customHeight="1" ht="18.75" hidden="1">
      <c r="A129" s="286" t="s">
        <v>265</v>
      </c>
      <c r="B129" s="286" t="s">
        <v>266</v>
      </c>
      <c r="D129" s="3814"/>
      <c r="E129" s="313"/>
      <c r="F129" s="3442" t="str">
        <f>INDEX(PT_DIFFERENTIATION_VTAR,MATCH(A129,PT_DIFFERENTIATION_VTAR_ID,0))</f>
        <v>Тариф на горячую воду (горячее водоснабжение)</v>
      </c>
      <c r="G129" s="3799" t="str">
        <f>INDEX(PT_DIFFERENTIATION_NTAR,MATCH(B129,PT_DIFFERENTIATION_NTAR_ID,0))</f>
        <v/>
      </c>
      <c r="H129" s="3628"/>
      <c r="I129" s="786"/>
      <c r="J129" s="787"/>
      <c r="K129" s="398"/>
      <c r="L129" s="3628" t="s">
        <v>321</v>
      </c>
      <c r="M129" s="3795"/>
      <c r="AH129" s="3432">
        <v>0</v>
      </c>
    </row>
    <row customHeight="1" ht="18.75" hidden="1">
      <c r="C130" s="3802" t="s">
        <v>1169</v>
      </c>
      <c r="D130" s="3814"/>
      <c r="E130" s="313"/>
      <c r="F130" s="3442"/>
      <c r="G130" s="3799"/>
      <c r="H130" s="791"/>
      <c r="I130" s="172" t="s">
        <v>1168</v>
      </c>
      <c r="J130" s="226"/>
      <c r="K130" s="791"/>
      <c r="L130" s="773"/>
      <c r="M130" s="3795"/>
      <c r="AH130" s="3432">
        <v>0</v>
      </c>
    </row>
    <row customHeight="1" ht="0.75" hidden="1">
      <c r="C131" s="3802" t="s">
        <v>1176</v>
      </c>
      <c r="D131" s="3814"/>
      <c r="E131" s="313"/>
      <c r="F131" s="3442"/>
      <c r="G131" s="806"/>
      <c r="H131" s="791"/>
      <c r="I131" s="172"/>
      <c r="J131" s="226"/>
      <c r="K131" s="791"/>
      <c r="L131" s="773"/>
      <c r="M131" s="3795"/>
      <c r="AH131" s="3432">
        <v>0</v>
      </c>
    </row>
    <row customHeight="1" ht="18.75" hidden="1">
      <c r="A132" s="286" t="s">
        <v>270</v>
      </c>
      <c r="B132" s="286" t="s">
        <v>271</v>
      </c>
      <c r="D132" s="3814"/>
      <c r="E132" s="313"/>
      <c r="F132" s="3442" t="str">
        <f>INDEX(PT_DIFFERENTIATION_VTAR,MATCH(A132,PT_DIFFERENTIATION_VTAR_ID,0))</f>
        <v>Тариф на транспортировку горячей воды</v>
      </c>
      <c r="G132" s="3799" t="str">
        <f>INDEX(PT_DIFFERENTIATION_NTAR,MATCH(B132,PT_DIFFERENTIATION_NTAR_ID,0))</f>
        <v/>
      </c>
      <c r="H132" s="3628"/>
      <c r="I132" s="786"/>
      <c r="J132" s="787"/>
      <c r="K132" s="398"/>
      <c r="L132" s="3628" t="s">
        <v>321</v>
      </c>
      <c r="M132" s="3795"/>
      <c r="AH132" s="3432">
        <v>0</v>
      </c>
    </row>
    <row customHeight="1" ht="18.75" hidden="1">
      <c r="C133" s="3802" t="s">
        <v>1169</v>
      </c>
      <c r="D133" s="3814"/>
      <c r="E133" s="313"/>
      <c r="F133" s="3442"/>
      <c r="G133" s="3799"/>
      <c r="H133" s="791"/>
      <c r="I133" s="172" t="s">
        <v>1168</v>
      </c>
      <c r="J133" s="226"/>
      <c r="K133" s="791"/>
      <c r="L133" s="773"/>
      <c r="M133" s="3795"/>
      <c r="AH133" s="3432">
        <v>0</v>
      </c>
    </row>
    <row customHeight="1" ht="0.75" hidden="1">
      <c r="C134" s="3802" t="s">
        <v>1176</v>
      </c>
      <c r="D134" s="3814"/>
      <c r="E134" s="313"/>
      <c r="F134" s="3442"/>
      <c r="G134" s="806"/>
      <c r="H134" s="791"/>
      <c r="I134" s="172"/>
      <c r="J134" s="226"/>
      <c r="K134" s="791"/>
      <c r="L134" s="773"/>
      <c r="M134" s="3795"/>
      <c r="AH134" s="3432">
        <v>0</v>
      </c>
    </row>
    <row customHeight="1" ht="18.75" hidden="1">
      <c r="A135" s="286" t="s">
        <v>275</v>
      </c>
      <c r="B135" s="286" t="s">
        <v>276</v>
      </c>
      <c r="D135" s="3814"/>
      <c r="E135" s="313"/>
      <c r="F135" s="34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3799" t="str">
        <f>INDEX(PT_DIFFERENTIATION_NTAR,MATCH(B135,PT_DIFFERENTIATION_NTAR_ID,0))</f>
        <v/>
      </c>
      <c r="H135" s="3628"/>
      <c r="I135" s="786"/>
      <c r="J135" s="787"/>
      <c r="K135" s="398"/>
      <c r="L135" s="3628" t="s">
        <v>321</v>
      </c>
      <c r="M135" s="3795"/>
      <c r="AH135" s="3432">
        <v>0</v>
      </c>
    </row>
    <row customHeight="1" ht="18.75" hidden="1">
      <c r="C136" s="3802" t="s">
        <v>1169</v>
      </c>
      <c r="D136" s="3814"/>
      <c r="E136" s="313"/>
      <c r="F136" s="3442"/>
      <c r="G136" s="3799"/>
      <c r="H136" s="791"/>
      <c r="I136" s="172" t="s">
        <v>1168</v>
      </c>
      <c r="J136" s="226"/>
      <c r="K136" s="791"/>
      <c r="L136" s="773"/>
      <c r="M136" s="3795"/>
      <c r="AH136" s="3432">
        <v>0</v>
      </c>
    </row>
    <row customHeight="1" ht="0.75" hidden="1">
      <c r="C137" s="3802" t="s">
        <v>1176</v>
      </c>
      <c r="D137" s="3814"/>
      <c r="E137" s="313"/>
      <c r="F137" s="3442"/>
      <c r="G137" s="806"/>
      <c r="H137" s="791"/>
      <c r="I137" s="172"/>
      <c r="J137" s="226"/>
      <c r="K137" s="791"/>
      <c r="L137" s="773"/>
      <c r="M137" s="3795"/>
      <c r="AH137" s="3432">
        <v>0</v>
      </c>
    </row>
    <row customHeight="1" ht="18.75" hidden="1">
      <c r="A138" s="286" t="s">
        <v>280</v>
      </c>
      <c r="B138" s="286" t="s">
        <v>281</v>
      </c>
      <c r="D138" s="3814"/>
      <c r="E138" s="313"/>
      <c r="F138" s="3442" t="str">
        <f>INDEX(PT_DIFFERENTIATION_VTAR,MATCH(A138,PT_DIFFERENTIATION_VTAR_ID,0))</f>
        <v>Тариф на водоотведение</v>
      </c>
      <c r="G138" s="3799" t="str">
        <f>INDEX(PT_DIFFERENTIATION_NTAR,MATCH(B138,PT_DIFFERENTIATION_NTAR_ID,0))</f>
        <v/>
      </c>
      <c r="H138" s="3628"/>
      <c r="I138" s="786"/>
      <c r="J138" s="787"/>
      <c r="K138" s="398"/>
      <c r="L138" s="3628" t="s">
        <v>321</v>
      </c>
      <c r="M138" s="3795"/>
      <c r="AH138" s="3432">
        <v>0</v>
      </c>
    </row>
    <row customHeight="1" ht="18.75" hidden="1">
      <c r="C139" s="3802" t="s">
        <v>1169</v>
      </c>
      <c r="D139" s="3814"/>
      <c r="E139" s="313"/>
      <c r="F139" s="3442"/>
      <c r="G139" s="3799"/>
      <c r="H139" s="791"/>
      <c r="I139" s="172" t="s">
        <v>1168</v>
      </c>
      <c r="J139" s="226"/>
      <c r="K139" s="791"/>
      <c r="L139" s="773"/>
      <c r="M139" s="3795"/>
      <c r="AH139" s="3432">
        <v>0</v>
      </c>
    </row>
    <row customHeight="1" ht="0.75" hidden="1">
      <c r="C140" s="3802" t="s">
        <v>1176</v>
      </c>
      <c r="D140" s="3814"/>
      <c r="E140" s="313"/>
      <c r="F140" s="3442"/>
      <c r="G140" s="806"/>
      <c r="H140" s="791"/>
      <c r="I140" s="172"/>
      <c r="J140" s="226"/>
      <c r="K140" s="791"/>
      <c r="L140" s="773"/>
      <c r="M140" s="3795"/>
      <c r="AH140" s="3432">
        <v>0</v>
      </c>
    </row>
    <row customHeight="1" ht="18.75" hidden="1">
      <c r="A141" s="286" t="s">
        <v>285</v>
      </c>
      <c r="B141" s="286" t="s">
        <v>286</v>
      </c>
      <c r="D141" s="3814"/>
      <c r="E141" s="313"/>
      <c r="F141" s="3442" t="str">
        <f>INDEX(PT_DIFFERENTIATION_VTAR,MATCH(A141,PT_DIFFERENTIATION_VTAR_ID,0))</f>
        <v>Тариф на транспортировку сточных вод</v>
      </c>
      <c r="G141" s="3799" t="str">
        <f>INDEX(PT_DIFFERENTIATION_NTAR,MATCH(B141,PT_DIFFERENTIATION_NTAR_ID,0))</f>
        <v/>
      </c>
      <c r="H141" s="3628"/>
      <c r="I141" s="786"/>
      <c r="J141" s="787"/>
      <c r="K141" s="398"/>
      <c r="L141" s="3628" t="s">
        <v>321</v>
      </c>
      <c r="M141" s="3795"/>
      <c r="AH141" s="3432">
        <v>0</v>
      </c>
    </row>
    <row customHeight="1" ht="18.75" hidden="1">
      <c r="C142" s="3802" t="s">
        <v>1169</v>
      </c>
      <c r="D142" s="3814"/>
      <c r="E142" s="313"/>
      <c r="F142" s="3442"/>
      <c r="G142" s="3799"/>
      <c r="H142" s="791"/>
      <c r="I142" s="172" t="s">
        <v>1168</v>
      </c>
      <c r="J142" s="226"/>
      <c r="K142" s="791"/>
      <c r="L142" s="773"/>
      <c r="M142" s="3795"/>
      <c r="AH142" s="3432">
        <v>0</v>
      </c>
    </row>
    <row customHeight="1" ht="0.75" hidden="1">
      <c r="C143" s="3802" t="s">
        <v>1176</v>
      </c>
      <c r="D143" s="3814"/>
      <c r="E143" s="313"/>
      <c r="F143" s="3442"/>
      <c r="G143" s="806"/>
      <c r="H143" s="791"/>
      <c r="I143" s="172"/>
      <c r="J143" s="226"/>
      <c r="K143" s="791"/>
      <c r="L143" s="773"/>
      <c r="M143" s="3795"/>
      <c r="AH143" s="3432">
        <v>0</v>
      </c>
    </row>
    <row customHeight="1" ht="18.75" hidden="1">
      <c r="A144" s="286" t="s">
        <v>290</v>
      </c>
      <c r="B144" s="286" t="s">
        <v>291</v>
      </c>
      <c r="D144" s="3814"/>
      <c r="E144" s="313"/>
      <c r="F144" s="3442" t="str">
        <f>INDEX(PT_DIFFERENTIATION_VTAR,MATCH(A144,PT_DIFFERENTIATION_VTAR_ID,0))</f>
        <v>Тариф на подключение (технологическое присоединение) к централизованной системе водоотведения</v>
      </c>
      <c r="G144" s="3799" t="str">
        <f>INDEX(PT_DIFFERENTIATION_NTAR,MATCH(B144,PT_DIFFERENTIATION_NTAR_ID,0))</f>
        <v/>
      </c>
      <c r="H144" s="3628"/>
      <c r="I144" s="786"/>
      <c r="J144" s="787"/>
      <c r="K144" s="398"/>
      <c r="L144" s="3628" t="s">
        <v>321</v>
      </c>
      <c r="M144" s="3795"/>
      <c r="AH144" s="3432">
        <v>0</v>
      </c>
    </row>
    <row customHeight="1" ht="18.75" hidden="1">
      <c r="C145" s="3802" t="s">
        <v>1169</v>
      </c>
      <c r="D145" s="3814"/>
      <c r="E145" s="313"/>
      <c r="F145" s="3442"/>
      <c r="G145" s="3799"/>
      <c r="H145" s="791"/>
      <c r="I145" s="172" t="s">
        <v>1168</v>
      </c>
      <c r="J145" s="226"/>
      <c r="K145" s="791"/>
      <c r="L145" s="773"/>
      <c r="M145" s="3795"/>
      <c r="AH145" s="3432">
        <v>0</v>
      </c>
    </row>
    <row customHeight="1" ht="1.05">
      <c r="C146" s="3802" t="s">
        <v>1176</v>
      </c>
      <c r="D146" s="3814"/>
      <c r="E146" s="313"/>
      <c r="F146" s="3442"/>
      <c r="G146" s="806"/>
      <c r="H146" s="791"/>
      <c r="I146" s="172"/>
      <c r="J146" s="226"/>
      <c r="K146" s="791"/>
      <c r="L146" s="773"/>
      <c r="M146" s="3795"/>
      <c r="AH146" s="3432">
        <v>1</v>
      </c>
    </row>
    <row customHeight="1" ht="19.95">
      <c r="D147" s="3719"/>
      <c r="E147" s="313" t="s">
        <v>89</v>
      </c>
      <c r="F147" s="37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3765"/>
      <c r="H147" s="3765"/>
      <c r="I147" s="3765"/>
      <c r="J147" s="3765"/>
      <c r="K147" s="3765"/>
      <c r="L147" s="3765"/>
      <c r="M147" s="3816"/>
      <c r="AH147" s="3432">
        <v>19</v>
      </c>
    </row>
    <row customHeight="1" ht="60.75" hidden="1">
      <c r="A148" s="286" t="s">
        <v>172</v>
      </c>
      <c r="B148" s="286" t="s">
        <v>173</v>
      </c>
      <c r="D148" s="3814"/>
      <c r="E148" s="313"/>
      <c r="F148" s="34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799" t="str">
        <f>INDEX(PT_DIFFERENTIATION_NTAR,MATCH(B148,PT_DIFFERENTIATION_NTAR_ID,0))</f>
        <v/>
      </c>
      <c r="H148" s="3628"/>
      <c r="I148" s="786"/>
      <c r="J148" s="787"/>
      <c r="K148" s="398"/>
      <c r="L148" s="3628" t="s">
        <v>321</v>
      </c>
      <c r="M148" s="35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48" s="3432">
        <v>0</v>
      </c>
    </row>
    <row customHeight="1" ht="18.75" hidden="1">
      <c r="C149" s="3802" t="s">
        <v>1169</v>
      </c>
      <c r="D149" s="3814"/>
      <c r="E149" s="313"/>
      <c r="F149" s="3442"/>
      <c r="G149" s="3799"/>
      <c r="H149" s="791"/>
      <c r="I149" s="172" t="s">
        <v>1168</v>
      </c>
      <c r="J149" s="226"/>
      <c r="K149" s="791"/>
      <c r="L149" s="773"/>
      <c r="M149" s="3548"/>
      <c r="AH149" s="3432">
        <v>0</v>
      </c>
    </row>
    <row customHeight="1" ht="0.75" hidden="1">
      <c r="C150" s="3802" t="s">
        <v>1176</v>
      </c>
      <c r="D150" s="3814"/>
      <c r="E150" s="313"/>
      <c r="F150" s="3442"/>
      <c r="G150" s="806"/>
      <c r="H150" s="791"/>
      <c r="I150" s="172"/>
      <c r="J150" s="226"/>
      <c r="K150" s="791"/>
      <c r="L150" s="773"/>
      <c r="M150" s="3548"/>
      <c r="AH150" s="3432">
        <v>0</v>
      </c>
    </row>
    <row customHeight="1" ht="45" hidden="1">
      <c r="A151" s="286" t="s">
        <v>177</v>
      </c>
      <c r="B151" s="286" t="s">
        <v>178</v>
      </c>
      <c r="D151" s="3814"/>
      <c r="E151" s="313"/>
      <c r="F151" s="3442" t="str">
        <f>INDEX(PT_DIFFERENTIATION_VTAR,MATCH(A151,PT_DIFFERENTIATION_VTAR_ID,0))</f>
        <v/>
      </c>
      <c r="G151" s="3799" t="str">
        <f>INDEX(PT_DIFFERENTIATION_NTAR,MATCH(B151,PT_DIFFERENTIATION_NTAR_ID,0))</f>
        <v/>
      </c>
      <c r="H151" s="3628"/>
      <c r="I151" s="786"/>
      <c r="J151" s="787"/>
      <c r="K151" s="398"/>
      <c r="L151" s="3628" t="s">
        <v>321</v>
      </c>
      <c r="M151" s="3550"/>
      <c r="AH151" s="3432">
        <v>0</v>
      </c>
    </row>
    <row customHeight="1" ht="18.75" hidden="1">
      <c r="C152" s="3802" t="s">
        <v>1169</v>
      </c>
      <c r="D152" s="3814"/>
      <c r="E152" s="313"/>
      <c r="F152" s="3442"/>
      <c r="G152" s="3799"/>
      <c r="H152" s="791"/>
      <c r="I152" s="172" t="s">
        <v>1168</v>
      </c>
      <c r="J152" s="226"/>
      <c r="K152" s="791"/>
      <c r="L152" s="773"/>
      <c r="M152" s="3548"/>
      <c r="AH152" s="3432">
        <v>0</v>
      </c>
    </row>
    <row customHeight="1" ht="0.75" hidden="1">
      <c r="C153" s="3802" t="s">
        <v>1176</v>
      </c>
      <c r="D153" s="3814"/>
      <c r="E153" s="313"/>
      <c r="F153" s="3442"/>
      <c r="G153" s="806"/>
      <c r="H153" s="791"/>
      <c r="I153" s="172"/>
      <c r="J153" s="226"/>
      <c r="K153" s="791"/>
      <c r="L153" s="773"/>
      <c r="M153" s="3795"/>
      <c r="AH153" s="3432">
        <v>0</v>
      </c>
    </row>
    <row customHeight="1" ht="45" hidden="1">
      <c r="A154" s="286" t="s">
        <v>184</v>
      </c>
      <c r="B154" s="286" t="s">
        <v>185</v>
      </c>
      <c r="D154" s="3814"/>
      <c r="E154" s="313"/>
      <c r="F154" s="34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799" t="str">
        <f>INDEX(PT_DIFFERENTIATION_NTAR,MATCH(B154,PT_DIFFERENTIATION_NTAR_ID,0))</f>
        <v/>
      </c>
      <c r="H154" s="3628"/>
      <c r="I154" s="786"/>
      <c r="J154" s="787"/>
      <c r="K154" s="398"/>
      <c r="L154" s="3628" t="s">
        <v>321</v>
      </c>
      <c r="M154" s="3795"/>
      <c r="AH154" s="3432">
        <v>0</v>
      </c>
    </row>
    <row customHeight="1" ht="18.75" hidden="1">
      <c r="C155" s="3802" t="s">
        <v>1169</v>
      </c>
      <c r="D155" s="3814"/>
      <c r="E155" s="313"/>
      <c r="F155" s="3442"/>
      <c r="G155" s="3799"/>
      <c r="H155" s="791"/>
      <c r="I155" s="172" t="s">
        <v>1168</v>
      </c>
      <c r="J155" s="226"/>
      <c r="K155" s="791"/>
      <c r="L155" s="773"/>
      <c r="M155" s="3795"/>
      <c r="AH155" s="3432">
        <v>0</v>
      </c>
    </row>
    <row customHeight="1" ht="0.75" hidden="1">
      <c r="C156" s="3802" t="s">
        <v>1176</v>
      </c>
      <c r="D156" s="3814"/>
      <c r="E156" s="313"/>
      <c r="F156" s="3442"/>
      <c r="G156" s="806"/>
      <c r="H156" s="791"/>
      <c r="I156" s="172"/>
      <c r="J156" s="226"/>
      <c r="K156" s="791"/>
      <c r="L156" s="773"/>
      <c r="M156" s="3795"/>
      <c r="AH156" s="3432">
        <v>0</v>
      </c>
    </row>
    <row customHeight="1" ht="45" hidden="1">
      <c r="A157" s="286" t="s">
        <v>190</v>
      </c>
      <c r="B157" s="286" t="s">
        <v>191</v>
      </c>
      <c r="D157" s="3814"/>
      <c r="E157" s="313"/>
      <c r="F157" s="34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799" t="str">
        <f>INDEX(PT_DIFFERENTIATION_NTAR,MATCH(B157,PT_DIFFERENTIATION_NTAR_ID,0))</f>
        <v/>
      </c>
      <c r="H157" s="3628"/>
      <c r="I157" s="786"/>
      <c r="J157" s="787"/>
      <c r="K157" s="398"/>
      <c r="L157" s="3628" t="s">
        <v>321</v>
      </c>
      <c r="M157" s="3795"/>
      <c r="AH157" s="3432">
        <v>0</v>
      </c>
    </row>
    <row customHeight="1" ht="18.75" hidden="1">
      <c r="C158" s="3802" t="s">
        <v>1169</v>
      </c>
      <c r="D158" s="3814"/>
      <c r="E158" s="313"/>
      <c r="F158" s="3442"/>
      <c r="G158" s="3799"/>
      <c r="H158" s="791"/>
      <c r="I158" s="172" t="s">
        <v>1168</v>
      </c>
      <c r="J158" s="226"/>
      <c r="K158" s="791"/>
      <c r="L158" s="773"/>
      <c r="M158" s="3795"/>
      <c r="AH158" s="3432">
        <v>0</v>
      </c>
    </row>
    <row customHeight="1" ht="0.75" hidden="1">
      <c r="C159" s="3802" t="s">
        <v>1176</v>
      </c>
      <c r="D159" s="3814"/>
      <c r="E159" s="313"/>
      <c r="F159" s="3442"/>
      <c r="G159" s="806"/>
      <c r="H159" s="791"/>
      <c r="I159" s="172"/>
      <c r="J159" s="226"/>
      <c r="K159" s="791"/>
      <c r="L159" s="773"/>
      <c r="M159" s="3795"/>
      <c r="AH159" s="3432">
        <v>0</v>
      </c>
    </row>
    <row customHeight="1" ht="18.75" hidden="1">
      <c r="A160" s="286" t="s">
        <v>196</v>
      </c>
      <c r="B160" s="286" t="s">
        <v>197</v>
      </c>
      <c r="D160" s="3814"/>
      <c r="E160" s="313"/>
      <c r="F160" s="3442" t="str">
        <f>INDEX(PT_DIFFERENTIATION_VTAR,MATCH(A160,PT_DIFFERENTIATION_VTAR_ID,0))</f>
        <v>Тарифы на услуги по передаче тепловой энергии</v>
      </c>
      <c r="G160" s="3799" t="str">
        <f>INDEX(PT_DIFFERENTIATION_NTAR,MATCH(B160,PT_DIFFERENTIATION_NTAR_ID,0))</f>
        <v/>
      </c>
      <c r="H160" s="3628"/>
      <c r="I160" s="786"/>
      <c r="J160" s="787"/>
      <c r="K160" s="398"/>
      <c r="L160" s="3628" t="s">
        <v>321</v>
      </c>
      <c r="M160" s="3795"/>
      <c r="AH160" s="3432">
        <v>0</v>
      </c>
    </row>
    <row customHeight="1" ht="18.75" hidden="1">
      <c r="C161" s="3802" t="s">
        <v>1169</v>
      </c>
      <c r="D161" s="3814"/>
      <c r="E161" s="313"/>
      <c r="F161" s="3442"/>
      <c r="G161" s="3799"/>
      <c r="H161" s="791"/>
      <c r="I161" s="172" t="s">
        <v>1168</v>
      </c>
      <c r="J161" s="226"/>
      <c r="K161" s="791"/>
      <c r="L161" s="773"/>
      <c r="M161" s="3795"/>
      <c r="AH161" s="3432">
        <v>0</v>
      </c>
    </row>
    <row customHeight="1" ht="0.75" hidden="1">
      <c r="C162" s="3802" t="s">
        <v>1176</v>
      </c>
      <c r="D162" s="3814"/>
      <c r="E162" s="313"/>
      <c r="F162" s="3442"/>
      <c r="G162" s="806"/>
      <c r="H162" s="791"/>
      <c r="I162" s="172"/>
      <c r="J162" s="226"/>
      <c r="K162" s="791"/>
      <c r="L162" s="773"/>
      <c r="M162" s="3795"/>
      <c r="AH162" s="3432">
        <v>0</v>
      </c>
    </row>
    <row customHeight="1" ht="18.75" hidden="1">
      <c r="A163" s="286" t="s">
        <v>202</v>
      </c>
      <c r="B163" s="286" t="s">
        <v>203</v>
      </c>
      <c r="D163" s="3814"/>
      <c r="E163" s="313"/>
      <c r="F163" s="3442" t="str">
        <f>INDEX(PT_DIFFERENTIATION_VTAR,MATCH(A163,PT_DIFFERENTIATION_VTAR_ID,0))</f>
        <v>Тарифы на услуги по передаче теплоносителя</v>
      </c>
      <c r="G163" s="3799" t="str">
        <f>INDEX(PT_DIFFERENTIATION_NTAR,MATCH(B163,PT_DIFFERENTIATION_NTAR_ID,0))</f>
        <v/>
      </c>
      <c r="H163" s="3628"/>
      <c r="I163" s="786"/>
      <c r="J163" s="787"/>
      <c r="K163" s="398"/>
      <c r="L163" s="3628" t="s">
        <v>321</v>
      </c>
      <c r="M163" s="3795"/>
      <c r="AH163" s="3432">
        <v>0</v>
      </c>
    </row>
    <row customHeight="1" ht="18.75" hidden="1">
      <c r="C164" s="3802" t="s">
        <v>1169</v>
      </c>
      <c r="D164" s="3814"/>
      <c r="E164" s="313"/>
      <c r="F164" s="3442"/>
      <c r="G164" s="3799"/>
      <c r="H164" s="791"/>
      <c r="I164" s="172" t="s">
        <v>1168</v>
      </c>
      <c r="J164" s="226"/>
      <c r="K164" s="791"/>
      <c r="L164" s="773"/>
      <c r="M164" s="3795"/>
      <c r="AH164" s="3432">
        <v>0</v>
      </c>
    </row>
    <row customHeight="1" ht="0.75" hidden="1">
      <c r="C165" s="3802" t="s">
        <v>1176</v>
      </c>
      <c r="D165" s="3814"/>
      <c r="E165" s="313"/>
      <c r="F165" s="3442"/>
      <c r="G165" s="806"/>
      <c r="H165" s="791"/>
      <c r="I165" s="172"/>
      <c r="J165" s="226"/>
      <c r="K165" s="791"/>
      <c r="L165" s="773"/>
      <c r="M165" s="3795"/>
      <c r="AH165" s="3432">
        <v>0</v>
      </c>
    </row>
    <row customHeight="1" ht="18.75" hidden="1">
      <c r="A166" s="286" t="s">
        <v>208</v>
      </c>
      <c r="B166" s="286" t="s">
        <v>209</v>
      </c>
      <c r="D166" s="3814"/>
      <c r="E166" s="313"/>
      <c r="F166" s="34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799" t="str">
        <f>INDEX(PT_DIFFERENTIATION_NTAR,MATCH(B166,PT_DIFFERENTIATION_NTAR_ID,0))</f>
        <v/>
      </c>
      <c r="H166" s="3628"/>
      <c r="I166" s="786"/>
      <c r="J166" s="787"/>
      <c r="K166" s="398"/>
      <c r="L166" s="3628" t="s">
        <v>321</v>
      </c>
      <c r="M166" s="3795"/>
      <c r="AH166" s="3432">
        <v>0</v>
      </c>
    </row>
    <row customHeight="1" ht="18.75" hidden="1">
      <c r="C167" s="3802" t="s">
        <v>1169</v>
      </c>
      <c r="D167" s="3814"/>
      <c r="E167" s="313"/>
      <c r="F167" s="3442"/>
      <c r="G167" s="3799"/>
      <c r="H167" s="791"/>
      <c r="I167" s="172" t="s">
        <v>1168</v>
      </c>
      <c r="J167" s="226"/>
      <c r="K167" s="791"/>
      <c r="L167" s="773"/>
      <c r="M167" s="3795"/>
      <c r="AH167" s="3432">
        <v>0</v>
      </c>
    </row>
    <row customHeight="1" ht="0.75" hidden="1">
      <c r="C168" s="3802" t="s">
        <v>1176</v>
      </c>
      <c r="D168" s="3814"/>
      <c r="E168" s="313"/>
      <c r="F168" s="3442"/>
      <c r="G168" s="806"/>
      <c r="H168" s="791"/>
      <c r="I168" s="172"/>
      <c r="J168" s="226"/>
      <c r="K168" s="791"/>
      <c r="L168" s="773"/>
      <c r="M168" s="3795"/>
      <c r="AH168" s="3432">
        <v>0</v>
      </c>
    </row>
    <row customHeight="1" ht="18.75" hidden="1">
      <c r="A169" s="286" t="s">
        <v>214</v>
      </c>
      <c r="B169" s="286" t="s">
        <v>215</v>
      </c>
      <c r="D169" s="3814"/>
      <c r="E169" s="313"/>
      <c r="F169" s="3442" t="str">
        <f>INDEX(PT_DIFFERENTIATION_VTAR,MATCH(A169,PT_DIFFERENTIATION_VTAR_ID,0))</f>
        <v>Плата за подключение (технологическое присоединение) к системе теплоснабжения</v>
      </c>
      <c r="G169" s="3799" t="str">
        <f>INDEX(PT_DIFFERENTIATION_NTAR,MATCH(B169,PT_DIFFERENTIATION_NTAR_ID,0))</f>
        <v/>
      </c>
      <c r="H169" s="3628"/>
      <c r="I169" s="786"/>
      <c r="J169" s="787"/>
      <c r="K169" s="398"/>
      <c r="L169" s="3628" t="s">
        <v>321</v>
      </c>
      <c r="M169" s="3795"/>
      <c r="AH169" s="3432">
        <v>0</v>
      </c>
    </row>
    <row customHeight="1" ht="18.75" hidden="1">
      <c r="C170" s="3802" t="s">
        <v>1169</v>
      </c>
      <c r="D170" s="3814"/>
      <c r="E170" s="313"/>
      <c r="F170" s="3442"/>
      <c r="G170" s="3799"/>
      <c r="H170" s="791"/>
      <c r="I170" s="172" t="s">
        <v>1168</v>
      </c>
      <c r="J170" s="226"/>
      <c r="K170" s="791"/>
      <c r="L170" s="773"/>
      <c r="M170" s="3795"/>
      <c r="AH170" s="3432">
        <v>0</v>
      </c>
    </row>
    <row customHeight="1" ht="0.75" hidden="1">
      <c r="C171" s="3802" t="s">
        <v>1176</v>
      </c>
      <c r="D171" s="3814"/>
      <c r="E171" s="313"/>
      <c r="F171" s="3442"/>
      <c r="G171" s="806"/>
      <c r="H171" s="791"/>
      <c r="I171" s="172"/>
      <c r="J171" s="226"/>
      <c r="K171" s="791"/>
      <c r="L171" s="773"/>
      <c r="M171" s="3795"/>
      <c r="AH171" s="3432">
        <v>0</v>
      </c>
    </row>
    <row customHeight="1" ht="18.75" hidden="1">
      <c r="A172" s="286" t="s">
        <v>220</v>
      </c>
      <c r="B172" s="286" t="s">
        <v>221</v>
      </c>
      <c r="D172" s="3814"/>
      <c r="E172" s="313"/>
      <c r="F172" s="3442" t="str">
        <f>INDEX(PT_DIFFERENTIATION_VTAR,MATCH(A172,PT_DIFFERENTIATION_VTAR_ID,0))</f>
        <v>Плата за подключение (технологическое присоединение) к системе теплоснабжения (индивидуальная)</v>
      </c>
      <c r="G172" s="3799" t="str">
        <f>INDEX(PT_DIFFERENTIATION_NTAR,MATCH(B172,PT_DIFFERENTIATION_NTAR_ID,0))</f>
        <v/>
      </c>
      <c r="H172" s="3628"/>
      <c r="I172" s="786"/>
      <c r="J172" s="787"/>
      <c r="K172" s="398"/>
      <c r="L172" s="3628" t="s">
        <v>321</v>
      </c>
      <c r="M172" s="3795"/>
      <c r="AH172" s="3432">
        <v>0</v>
      </c>
    </row>
    <row customHeight="1" ht="18.75" hidden="1">
      <c r="C173" s="3802" t="s">
        <v>1169</v>
      </c>
      <c r="D173" s="3814"/>
      <c r="E173" s="313"/>
      <c r="F173" s="3442"/>
      <c r="G173" s="3799"/>
      <c r="H173" s="791"/>
      <c r="I173" s="172" t="s">
        <v>1168</v>
      </c>
      <c r="J173" s="226"/>
      <c r="K173" s="791"/>
      <c r="L173" s="773"/>
      <c r="M173" s="3795"/>
      <c r="AH173" s="3432">
        <v>0</v>
      </c>
    </row>
    <row customHeight="1" ht="0.75" hidden="1">
      <c r="C174" s="3802" t="s">
        <v>1176</v>
      </c>
      <c r="D174" s="3814"/>
      <c r="E174" s="313"/>
      <c r="F174" s="3442"/>
      <c r="G174" s="806"/>
      <c r="H174" s="791"/>
      <c r="I174" s="172"/>
      <c r="J174" s="226"/>
      <c r="K174" s="791"/>
      <c r="L174" s="773"/>
      <c r="M174" s="3795"/>
      <c r="AH174" s="3432">
        <v>0</v>
      </c>
    </row>
    <row customHeight="1" ht="18.75" hidden="1">
      <c r="A175" s="286" t="s">
        <v>240</v>
      </c>
      <c r="B175" s="286" t="s">
        <v>241</v>
      </c>
      <c r="D175" s="3814"/>
      <c r="E175" s="313"/>
      <c r="F175" s="3442" t="str">
        <f>INDEX(PT_DIFFERENTIATION_VTAR,MATCH(A175,PT_DIFFERENTIATION_VTAR_ID,0))</f>
        <v>Тариф на питьевую воду (питьевое водоснабжение)</v>
      </c>
      <c r="G175" s="3799" t="str">
        <f>INDEX(PT_DIFFERENTIATION_NTAR,MATCH(B175,PT_DIFFERENTIATION_NTAR_ID,0))</f>
        <v/>
      </c>
      <c r="H175" s="3628"/>
      <c r="I175" s="786"/>
      <c r="J175" s="787"/>
      <c r="K175" s="398"/>
      <c r="L175" s="3628" t="s">
        <v>321</v>
      </c>
      <c r="M175" s="3795"/>
      <c r="AH175" s="3432">
        <v>0</v>
      </c>
    </row>
    <row customHeight="1" ht="18.75" hidden="1">
      <c r="C176" s="3802" t="s">
        <v>1169</v>
      </c>
      <c r="D176" s="3814"/>
      <c r="E176" s="313"/>
      <c r="F176" s="3442"/>
      <c r="G176" s="3799"/>
      <c r="H176" s="791"/>
      <c r="I176" s="172" t="s">
        <v>1168</v>
      </c>
      <c r="J176" s="226"/>
      <c r="K176" s="791"/>
      <c r="L176" s="773"/>
      <c r="M176" s="3795"/>
      <c r="AH176" s="3432">
        <v>0</v>
      </c>
    </row>
    <row customHeight="1" ht="0.75" hidden="1">
      <c r="C177" s="3802" t="s">
        <v>1176</v>
      </c>
      <c r="D177" s="3814"/>
      <c r="E177" s="313"/>
      <c r="F177" s="3442"/>
      <c r="G177" s="806"/>
      <c r="H177" s="791"/>
      <c r="I177" s="172"/>
      <c r="J177" s="226"/>
      <c r="K177" s="791"/>
      <c r="L177" s="773"/>
      <c r="M177" s="3795"/>
      <c r="AH177" s="3432">
        <v>0</v>
      </c>
    </row>
    <row customHeight="1" ht="18.75" hidden="1">
      <c r="A178" s="286" t="s">
        <v>245</v>
      </c>
      <c r="B178" s="286" t="s">
        <v>246</v>
      </c>
      <c r="D178" s="3814"/>
      <c r="E178" s="313"/>
      <c r="F178" s="3442" t="str">
        <f>INDEX(PT_DIFFERENTIATION_VTAR,MATCH(A178,PT_DIFFERENTIATION_VTAR_ID,0))</f>
        <v>Тариф на техническую воду</v>
      </c>
      <c r="G178" s="3799" t="str">
        <f>INDEX(PT_DIFFERENTIATION_NTAR,MATCH(B178,PT_DIFFERENTIATION_NTAR_ID,0))</f>
        <v/>
      </c>
      <c r="H178" s="3628"/>
      <c r="I178" s="786"/>
      <c r="J178" s="787"/>
      <c r="K178" s="398"/>
      <c r="L178" s="3628" t="s">
        <v>321</v>
      </c>
      <c r="M178" s="3795"/>
      <c r="AH178" s="3432">
        <v>0</v>
      </c>
    </row>
    <row customHeight="1" ht="18.75" hidden="1">
      <c r="C179" s="3802" t="s">
        <v>1169</v>
      </c>
      <c r="D179" s="3814"/>
      <c r="E179" s="313"/>
      <c r="F179" s="3442"/>
      <c r="G179" s="3799"/>
      <c r="H179" s="791"/>
      <c r="I179" s="172" t="s">
        <v>1168</v>
      </c>
      <c r="J179" s="226"/>
      <c r="K179" s="791"/>
      <c r="L179" s="773"/>
      <c r="M179" s="3795"/>
      <c r="AH179" s="3432">
        <v>0</v>
      </c>
    </row>
    <row customHeight="1" ht="0.75" hidden="1">
      <c r="C180" s="3802" t="s">
        <v>1176</v>
      </c>
      <c r="D180" s="3814"/>
      <c r="E180" s="313"/>
      <c r="F180" s="3442"/>
      <c r="G180" s="806"/>
      <c r="H180" s="791"/>
      <c r="I180" s="172"/>
      <c r="J180" s="226"/>
      <c r="K180" s="791"/>
      <c r="L180" s="773"/>
      <c r="M180" s="3795"/>
      <c r="AH180" s="3432">
        <v>0</v>
      </c>
    </row>
    <row customHeight="1" ht="18.75" hidden="1">
      <c r="A181" s="286" t="s">
        <v>250</v>
      </c>
      <c r="B181" s="286" t="s">
        <v>251</v>
      </c>
      <c r="D181" s="3814"/>
      <c r="E181" s="313"/>
      <c r="F181" s="3442" t="str">
        <f>INDEX(PT_DIFFERENTIATION_VTAR,MATCH(A181,PT_DIFFERENTIATION_VTAR_ID,0))</f>
        <v>Тариф на транспортировку воды</v>
      </c>
      <c r="G181" s="3799" t="str">
        <f>INDEX(PT_DIFFERENTIATION_NTAR,MATCH(B181,PT_DIFFERENTIATION_NTAR_ID,0))</f>
        <v/>
      </c>
      <c r="H181" s="3628"/>
      <c r="I181" s="786"/>
      <c r="J181" s="787"/>
      <c r="K181" s="398"/>
      <c r="L181" s="3628" t="s">
        <v>321</v>
      </c>
      <c r="M181" s="3795"/>
      <c r="AH181" s="3432">
        <v>0</v>
      </c>
    </row>
    <row customHeight="1" ht="18.75" hidden="1">
      <c r="C182" s="3802" t="s">
        <v>1169</v>
      </c>
      <c r="D182" s="3814"/>
      <c r="E182" s="313"/>
      <c r="F182" s="3442"/>
      <c r="G182" s="3799"/>
      <c r="H182" s="791"/>
      <c r="I182" s="172" t="s">
        <v>1168</v>
      </c>
      <c r="J182" s="226"/>
      <c r="K182" s="791"/>
      <c r="L182" s="773"/>
      <c r="M182" s="3795"/>
      <c r="AH182" s="3432">
        <v>0</v>
      </c>
    </row>
    <row customHeight="1" ht="0.75" hidden="1">
      <c r="C183" s="3802" t="s">
        <v>1176</v>
      </c>
      <c r="D183" s="3814"/>
      <c r="E183" s="313"/>
      <c r="F183" s="3442"/>
      <c r="G183" s="806"/>
      <c r="H183" s="791"/>
      <c r="I183" s="172"/>
      <c r="J183" s="226"/>
      <c r="K183" s="791"/>
      <c r="L183" s="773"/>
      <c r="M183" s="3795"/>
      <c r="AH183" s="3432">
        <v>0</v>
      </c>
    </row>
    <row customHeight="1" ht="18.75" hidden="1">
      <c r="A184" s="286" t="s">
        <v>255</v>
      </c>
      <c r="B184" s="286" t="s">
        <v>256</v>
      </c>
      <c r="D184" s="3814"/>
      <c r="E184" s="313"/>
      <c r="F184" s="3442" t="str">
        <f>INDEX(PT_DIFFERENTIATION_VTAR,MATCH(A184,PT_DIFFERENTIATION_VTAR_ID,0))</f>
        <v>Тариф на подвоз воды</v>
      </c>
      <c r="G184" s="3799" t="str">
        <f>INDEX(PT_DIFFERENTIATION_NTAR,MATCH(B184,PT_DIFFERENTIATION_NTAR_ID,0))</f>
        <v/>
      </c>
      <c r="H184" s="3628"/>
      <c r="I184" s="786"/>
      <c r="J184" s="787"/>
      <c r="K184" s="398"/>
      <c r="L184" s="3628" t="s">
        <v>321</v>
      </c>
      <c r="M184" s="3795"/>
      <c r="AH184" s="3432">
        <v>0</v>
      </c>
    </row>
    <row customHeight="1" ht="18.75" hidden="1">
      <c r="C185" s="3802" t="s">
        <v>1169</v>
      </c>
      <c r="D185" s="3814"/>
      <c r="E185" s="313"/>
      <c r="F185" s="3442"/>
      <c r="G185" s="3799"/>
      <c r="H185" s="791"/>
      <c r="I185" s="172" t="s">
        <v>1168</v>
      </c>
      <c r="J185" s="226"/>
      <c r="K185" s="791"/>
      <c r="L185" s="773"/>
      <c r="M185" s="3795"/>
      <c r="AH185" s="3432">
        <v>0</v>
      </c>
    </row>
    <row customHeight="1" ht="0.75" hidden="1">
      <c r="C186" s="3802" t="s">
        <v>1176</v>
      </c>
      <c r="D186" s="3814"/>
      <c r="E186" s="313"/>
      <c r="F186" s="3442"/>
      <c r="G186" s="806"/>
      <c r="H186" s="791"/>
      <c r="I186" s="172"/>
      <c r="J186" s="226"/>
      <c r="K186" s="791"/>
      <c r="L186" s="773"/>
      <c r="M186" s="3795"/>
      <c r="AH186" s="3432">
        <v>0</v>
      </c>
    </row>
    <row customHeight="1" ht="18.75" hidden="1">
      <c r="A187" s="286" t="s">
        <v>260</v>
      </c>
      <c r="B187" s="286" t="s">
        <v>261</v>
      </c>
      <c r="D187" s="3814"/>
      <c r="E187" s="313"/>
      <c r="F187" s="34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799" t="str">
        <f>INDEX(PT_DIFFERENTIATION_NTAR,MATCH(B187,PT_DIFFERENTIATION_NTAR_ID,0))</f>
        <v/>
      </c>
      <c r="H187" s="3628"/>
      <c r="I187" s="786"/>
      <c r="J187" s="787"/>
      <c r="K187" s="398"/>
      <c r="L187" s="3628" t="s">
        <v>321</v>
      </c>
      <c r="M187" s="3795"/>
      <c r="AH187" s="3432">
        <v>0</v>
      </c>
    </row>
    <row customHeight="1" ht="18.75" hidden="1">
      <c r="C188" s="3802" t="s">
        <v>1169</v>
      </c>
      <c r="D188" s="3814"/>
      <c r="E188" s="313"/>
      <c r="F188" s="3442"/>
      <c r="G188" s="3799"/>
      <c r="H188" s="791"/>
      <c r="I188" s="172" t="s">
        <v>1168</v>
      </c>
      <c r="J188" s="226"/>
      <c r="K188" s="791"/>
      <c r="L188" s="773"/>
      <c r="M188" s="3795"/>
      <c r="AH188" s="3432">
        <v>0</v>
      </c>
    </row>
    <row customHeight="1" ht="0.75" hidden="1">
      <c r="C189" s="3802" t="s">
        <v>1176</v>
      </c>
      <c r="D189" s="3814"/>
      <c r="E189" s="313"/>
      <c r="F189" s="3442"/>
      <c r="G189" s="806"/>
      <c r="H189" s="791"/>
      <c r="I189" s="172"/>
      <c r="J189" s="226"/>
      <c r="K189" s="791"/>
      <c r="L189" s="773"/>
      <c r="M189" s="3795"/>
      <c r="AH189" s="3432">
        <v>0</v>
      </c>
    </row>
    <row customHeight="1" ht="18.75" hidden="1">
      <c r="A190" s="286" t="s">
        <v>265</v>
      </c>
      <c r="B190" s="286" t="s">
        <v>266</v>
      </c>
      <c r="D190" s="3814"/>
      <c r="E190" s="313"/>
      <c r="F190" s="3442" t="str">
        <f>INDEX(PT_DIFFERENTIATION_VTAR,MATCH(A190,PT_DIFFERENTIATION_VTAR_ID,0))</f>
        <v>Тариф на горячую воду (горячее водоснабжение)</v>
      </c>
      <c r="G190" s="3799" t="str">
        <f>INDEX(PT_DIFFERENTIATION_NTAR,MATCH(B190,PT_DIFFERENTIATION_NTAR_ID,0))</f>
        <v/>
      </c>
      <c r="H190" s="3628"/>
      <c r="I190" s="786"/>
      <c r="J190" s="787"/>
      <c r="K190" s="398"/>
      <c r="L190" s="3628" t="s">
        <v>321</v>
      </c>
      <c r="M190" s="3795"/>
      <c r="AH190" s="3432">
        <v>0</v>
      </c>
    </row>
    <row customHeight="1" ht="18.75" hidden="1">
      <c r="C191" s="3802" t="s">
        <v>1169</v>
      </c>
      <c r="D191" s="3814"/>
      <c r="E191" s="313"/>
      <c r="F191" s="3442"/>
      <c r="G191" s="3799"/>
      <c r="H191" s="791"/>
      <c r="I191" s="172" t="s">
        <v>1168</v>
      </c>
      <c r="J191" s="226"/>
      <c r="K191" s="791"/>
      <c r="L191" s="773"/>
      <c r="M191" s="3795"/>
      <c r="AH191" s="3432">
        <v>0</v>
      </c>
    </row>
    <row customHeight="1" ht="0.75" hidden="1">
      <c r="C192" s="3802" t="s">
        <v>1176</v>
      </c>
      <c r="D192" s="3814"/>
      <c r="E192" s="313"/>
      <c r="F192" s="3442"/>
      <c r="G192" s="806"/>
      <c r="H192" s="791"/>
      <c r="I192" s="172"/>
      <c r="J192" s="226"/>
      <c r="K192" s="791"/>
      <c r="L192" s="773"/>
      <c r="M192" s="3795"/>
      <c r="AH192" s="3432">
        <v>0</v>
      </c>
    </row>
    <row customHeight="1" ht="18.75" hidden="1">
      <c r="A193" s="286" t="s">
        <v>270</v>
      </c>
      <c r="B193" s="286" t="s">
        <v>271</v>
      </c>
      <c r="D193" s="3814"/>
      <c r="E193" s="313"/>
      <c r="F193" s="3442" t="str">
        <f>INDEX(PT_DIFFERENTIATION_VTAR,MATCH(A193,PT_DIFFERENTIATION_VTAR_ID,0))</f>
        <v>Тариф на транспортировку горячей воды</v>
      </c>
      <c r="G193" s="3799" t="str">
        <f>INDEX(PT_DIFFERENTIATION_NTAR,MATCH(B193,PT_DIFFERENTIATION_NTAR_ID,0))</f>
        <v/>
      </c>
      <c r="H193" s="3628"/>
      <c r="I193" s="786"/>
      <c r="J193" s="787"/>
      <c r="K193" s="398"/>
      <c r="L193" s="3628" t="s">
        <v>321</v>
      </c>
      <c r="M193" s="3795"/>
      <c r="AH193" s="3432">
        <v>0</v>
      </c>
    </row>
    <row customHeight="1" ht="18.75" hidden="1">
      <c r="C194" s="3802" t="s">
        <v>1169</v>
      </c>
      <c r="D194" s="3814"/>
      <c r="E194" s="313"/>
      <c r="F194" s="3442"/>
      <c r="G194" s="3799"/>
      <c r="H194" s="791"/>
      <c r="I194" s="172" t="s">
        <v>1168</v>
      </c>
      <c r="J194" s="226"/>
      <c r="K194" s="791"/>
      <c r="L194" s="773"/>
      <c r="M194" s="3795"/>
      <c r="AH194" s="3432">
        <v>0</v>
      </c>
    </row>
    <row customHeight="1" ht="0.75" hidden="1">
      <c r="C195" s="3802" t="s">
        <v>1176</v>
      </c>
      <c r="D195" s="3814"/>
      <c r="E195" s="313"/>
      <c r="F195" s="3442"/>
      <c r="G195" s="806"/>
      <c r="H195" s="791"/>
      <c r="I195" s="172"/>
      <c r="J195" s="226"/>
      <c r="K195" s="791"/>
      <c r="L195" s="773"/>
      <c r="M195" s="3795"/>
      <c r="AH195" s="3432">
        <v>0</v>
      </c>
    </row>
    <row customHeight="1" ht="18.75" hidden="1">
      <c r="A196" s="286" t="s">
        <v>275</v>
      </c>
      <c r="B196" s="286" t="s">
        <v>276</v>
      </c>
      <c r="D196" s="3814"/>
      <c r="E196" s="313"/>
      <c r="F196" s="34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3799" t="str">
        <f>INDEX(PT_DIFFERENTIATION_NTAR,MATCH(B196,PT_DIFFERENTIATION_NTAR_ID,0))</f>
        <v/>
      </c>
      <c r="H196" s="3628"/>
      <c r="I196" s="786"/>
      <c r="J196" s="787"/>
      <c r="K196" s="398"/>
      <c r="L196" s="3628" t="s">
        <v>321</v>
      </c>
      <c r="M196" s="3795"/>
      <c r="AH196" s="3432">
        <v>0</v>
      </c>
    </row>
    <row customHeight="1" ht="18.75" hidden="1">
      <c r="C197" s="3802" t="s">
        <v>1169</v>
      </c>
      <c r="D197" s="3814"/>
      <c r="E197" s="313"/>
      <c r="F197" s="3442"/>
      <c r="G197" s="3799"/>
      <c r="H197" s="791"/>
      <c r="I197" s="172" t="s">
        <v>1168</v>
      </c>
      <c r="J197" s="226"/>
      <c r="K197" s="791"/>
      <c r="L197" s="773"/>
      <c r="M197" s="3795"/>
      <c r="AH197" s="3432">
        <v>0</v>
      </c>
    </row>
    <row customHeight="1" ht="0.75" hidden="1">
      <c r="C198" s="3802" t="s">
        <v>1176</v>
      </c>
      <c r="D198" s="3814"/>
      <c r="E198" s="313"/>
      <c r="F198" s="3442"/>
      <c r="G198" s="806"/>
      <c r="H198" s="791"/>
      <c r="I198" s="172"/>
      <c r="J198" s="226"/>
      <c r="K198" s="791"/>
      <c r="L198" s="773"/>
      <c r="M198" s="3795"/>
      <c r="AH198" s="3432">
        <v>0</v>
      </c>
    </row>
    <row customHeight="1" ht="18.75" hidden="1">
      <c r="A199" s="286" t="s">
        <v>280</v>
      </c>
      <c r="B199" s="286" t="s">
        <v>281</v>
      </c>
      <c r="D199" s="3814"/>
      <c r="E199" s="313"/>
      <c r="F199" s="3442" t="str">
        <f>INDEX(PT_DIFFERENTIATION_VTAR,MATCH(A199,PT_DIFFERENTIATION_VTAR_ID,0))</f>
        <v>Тариф на водоотведение</v>
      </c>
      <c r="G199" s="3799" t="str">
        <f>INDEX(PT_DIFFERENTIATION_NTAR,MATCH(B199,PT_DIFFERENTIATION_NTAR_ID,0))</f>
        <v/>
      </c>
      <c r="H199" s="3628"/>
      <c r="I199" s="786"/>
      <c r="J199" s="787"/>
      <c r="K199" s="398"/>
      <c r="L199" s="3628" t="s">
        <v>321</v>
      </c>
      <c r="M199" s="3795"/>
      <c r="AH199" s="3432">
        <v>0</v>
      </c>
    </row>
    <row customHeight="1" ht="18.75" hidden="1">
      <c r="C200" s="3802" t="s">
        <v>1169</v>
      </c>
      <c r="D200" s="3814"/>
      <c r="E200" s="313"/>
      <c r="F200" s="3442"/>
      <c r="G200" s="3799"/>
      <c r="H200" s="791"/>
      <c r="I200" s="172" t="s">
        <v>1168</v>
      </c>
      <c r="J200" s="226"/>
      <c r="K200" s="791"/>
      <c r="L200" s="773"/>
      <c r="M200" s="3795"/>
      <c r="AH200" s="3432">
        <v>0</v>
      </c>
    </row>
    <row customHeight="1" ht="0.75" hidden="1">
      <c r="C201" s="3802" t="s">
        <v>1176</v>
      </c>
      <c r="D201" s="3814"/>
      <c r="E201" s="313"/>
      <c r="F201" s="3442"/>
      <c r="G201" s="806"/>
      <c r="H201" s="791"/>
      <c r="I201" s="172"/>
      <c r="J201" s="226"/>
      <c r="K201" s="791"/>
      <c r="L201" s="773"/>
      <c r="M201" s="3795"/>
      <c r="AH201" s="3432">
        <v>0</v>
      </c>
    </row>
    <row customHeight="1" ht="18.75" hidden="1">
      <c r="A202" s="286" t="s">
        <v>285</v>
      </c>
      <c r="B202" s="286" t="s">
        <v>286</v>
      </c>
      <c r="D202" s="3814"/>
      <c r="E202" s="313"/>
      <c r="F202" s="3442" t="str">
        <f>INDEX(PT_DIFFERENTIATION_VTAR,MATCH(A202,PT_DIFFERENTIATION_VTAR_ID,0))</f>
        <v>Тариф на транспортировку сточных вод</v>
      </c>
      <c r="G202" s="3799" t="str">
        <f>INDEX(PT_DIFFERENTIATION_NTAR,MATCH(B202,PT_DIFFERENTIATION_NTAR_ID,0))</f>
        <v/>
      </c>
      <c r="H202" s="3628"/>
      <c r="I202" s="786"/>
      <c r="J202" s="787"/>
      <c r="K202" s="398"/>
      <c r="L202" s="3628" t="s">
        <v>321</v>
      </c>
      <c r="M202" s="3795"/>
      <c r="AH202" s="3432">
        <v>0</v>
      </c>
    </row>
    <row customHeight="1" ht="18.75" hidden="1">
      <c r="C203" s="3802" t="s">
        <v>1169</v>
      </c>
      <c r="D203" s="3814"/>
      <c r="E203" s="313"/>
      <c r="F203" s="3442"/>
      <c r="G203" s="3799"/>
      <c r="H203" s="791"/>
      <c r="I203" s="172" t="s">
        <v>1168</v>
      </c>
      <c r="J203" s="226"/>
      <c r="K203" s="791"/>
      <c r="L203" s="773"/>
      <c r="M203" s="3795"/>
      <c r="AH203" s="3432">
        <v>0</v>
      </c>
    </row>
    <row customHeight="1" ht="0.75" hidden="1">
      <c r="C204" s="3802" t="s">
        <v>1176</v>
      </c>
      <c r="D204" s="3814"/>
      <c r="E204" s="313"/>
      <c r="F204" s="3442"/>
      <c r="G204" s="806"/>
      <c r="H204" s="791"/>
      <c r="I204" s="172"/>
      <c r="J204" s="226"/>
      <c r="K204" s="791"/>
      <c r="L204" s="773"/>
      <c r="M204" s="3795"/>
      <c r="AH204" s="3432">
        <v>0</v>
      </c>
    </row>
    <row customHeight="1" ht="18.75" hidden="1">
      <c r="A205" s="286" t="s">
        <v>290</v>
      </c>
      <c r="B205" s="286" t="s">
        <v>291</v>
      </c>
      <c r="D205" s="3814"/>
      <c r="E205" s="313"/>
      <c r="F205" s="3442" t="str">
        <f>INDEX(PT_DIFFERENTIATION_VTAR,MATCH(A205,PT_DIFFERENTIATION_VTAR_ID,0))</f>
        <v>Тариф на подключение (технологическое присоединение) к централизованной системе водоотведения</v>
      </c>
      <c r="G205" s="3799" t="str">
        <f>INDEX(PT_DIFFERENTIATION_NTAR,MATCH(B205,PT_DIFFERENTIATION_NTAR_ID,0))</f>
        <v/>
      </c>
      <c r="H205" s="3628"/>
      <c r="I205" s="786"/>
      <c r="J205" s="787"/>
      <c r="K205" s="398"/>
      <c r="L205" s="3628" t="s">
        <v>321</v>
      </c>
      <c r="M205" s="3795"/>
      <c r="AH205" s="3432">
        <v>0</v>
      </c>
    </row>
    <row customHeight="1" ht="18.75" hidden="1">
      <c r="C206" s="3802" t="s">
        <v>1169</v>
      </c>
      <c r="D206" s="3814"/>
      <c r="E206" s="313"/>
      <c r="F206" s="3442"/>
      <c r="G206" s="3799"/>
      <c r="H206" s="791"/>
      <c r="I206" s="172" t="s">
        <v>1168</v>
      </c>
      <c r="J206" s="226"/>
      <c r="K206" s="791"/>
      <c r="L206" s="773"/>
      <c r="M206" s="3795"/>
      <c r="AH206" s="3432">
        <v>0</v>
      </c>
    </row>
    <row customHeight="1" ht="1.05">
      <c r="C207" s="3802" t="s">
        <v>1176</v>
      </c>
      <c r="D207" s="3814"/>
      <c r="E207" s="313"/>
      <c r="F207" s="3442"/>
      <c r="G207" s="806"/>
      <c r="H207" s="791"/>
      <c r="I207" s="172"/>
      <c r="J207" s="226"/>
      <c r="K207" s="791"/>
      <c r="L207" s="773"/>
      <c r="M207" s="3795"/>
      <c r="AH207" s="3432">
        <v>1</v>
      </c>
    </row>
    <row customHeight="1" ht="27.299999999999997">
      <c r="D208" s="3719"/>
      <c r="E208" s="313" t="s">
        <v>109</v>
      </c>
      <c r="F208" s="37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765"/>
      <c r="H208" s="3765"/>
      <c r="I208" s="3765"/>
      <c r="J208" s="3765"/>
      <c r="K208" s="3765"/>
      <c r="L208" s="3765"/>
      <c r="M208" s="3816"/>
      <c r="AH208" s="3432">
        <v>26</v>
      </c>
    </row>
    <row customHeight="1" ht="60.75" hidden="1">
      <c r="A209" s="286" t="s">
        <v>172</v>
      </c>
      <c r="B209" s="286" t="s">
        <v>173</v>
      </c>
      <c r="D209" s="3814"/>
      <c r="E209" s="313"/>
      <c r="F209" s="34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799" t="str">
        <f>INDEX(PT_DIFFERENTIATION_NTAR,MATCH(B209,PT_DIFFERENTIATION_NTAR_ID,0))</f>
        <v/>
      </c>
      <c r="H209" s="3628"/>
      <c r="I209" s="786"/>
      <c r="J209" s="787"/>
      <c r="K209" s="398"/>
      <c r="L209" s="3628" t="s">
        <v>321</v>
      </c>
      <c r="M209" s="35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AH209" s="3432">
        <v>0</v>
      </c>
    </row>
    <row customHeight="1" ht="18.75" hidden="1">
      <c r="C210" s="3802" t="s">
        <v>1169</v>
      </c>
      <c r="D210" s="3814"/>
      <c r="E210" s="313"/>
      <c r="F210" s="3442"/>
      <c r="G210" s="3799"/>
      <c r="H210" s="791"/>
      <c r="I210" s="172" t="s">
        <v>1168</v>
      </c>
      <c r="J210" s="226"/>
      <c r="K210" s="791"/>
      <c r="L210" s="773"/>
      <c r="M210" s="3548"/>
      <c r="AH210" s="3432">
        <v>0</v>
      </c>
    </row>
    <row customHeight="1" ht="0.75" hidden="1">
      <c r="C211" s="3802" t="s">
        <v>1176</v>
      </c>
      <c r="D211" s="3814"/>
      <c r="E211" s="313"/>
      <c r="F211" s="3442"/>
      <c r="G211" s="806"/>
      <c r="H211" s="791"/>
      <c r="I211" s="172"/>
      <c r="J211" s="226"/>
      <c r="K211" s="791"/>
      <c r="L211" s="773"/>
      <c r="M211" s="3548"/>
      <c r="AH211" s="3432">
        <v>0</v>
      </c>
    </row>
    <row customHeight="1" ht="45" hidden="1">
      <c r="A212" s="286" t="s">
        <v>177</v>
      </c>
      <c r="B212" s="286" t="s">
        <v>178</v>
      </c>
      <c r="D212" s="3814"/>
      <c r="E212" s="313"/>
      <c r="F212" s="3442" t="str">
        <f>INDEX(PT_DIFFERENTIATION_VTAR,MATCH(A212,PT_DIFFERENTIATION_VTAR_ID,0))</f>
        <v/>
      </c>
      <c r="G212" s="3799" t="str">
        <f>INDEX(PT_DIFFERENTIATION_NTAR,MATCH(B212,PT_DIFFERENTIATION_NTAR_ID,0))</f>
        <v/>
      </c>
      <c r="H212" s="3628"/>
      <c r="I212" s="786"/>
      <c r="J212" s="787"/>
      <c r="K212" s="398"/>
      <c r="L212" s="3628" t="s">
        <v>321</v>
      </c>
      <c r="M212" s="3550"/>
      <c r="AH212" s="3432">
        <v>0</v>
      </c>
    </row>
    <row customHeight="1" ht="18.75" hidden="1">
      <c r="C213" s="3802" t="s">
        <v>1169</v>
      </c>
      <c r="D213" s="3814"/>
      <c r="E213" s="313"/>
      <c r="F213" s="3442"/>
      <c r="G213" s="3799"/>
      <c r="H213" s="791"/>
      <c r="I213" s="172" t="s">
        <v>1168</v>
      </c>
      <c r="J213" s="226"/>
      <c r="K213" s="791"/>
      <c r="L213" s="773"/>
      <c r="M213" s="3548"/>
      <c r="AH213" s="3432">
        <v>0</v>
      </c>
    </row>
    <row customHeight="1" ht="0.75" hidden="1">
      <c r="C214" s="3802" t="s">
        <v>1176</v>
      </c>
      <c r="D214" s="3814"/>
      <c r="E214" s="313"/>
      <c r="F214" s="3442"/>
      <c r="G214" s="806"/>
      <c r="H214" s="791"/>
      <c r="I214" s="172"/>
      <c r="J214" s="226"/>
      <c r="K214" s="791"/>
      <c r="L214" s="773"/>
      <c r="M214" s="3795"/>
      <c r="AH214" s="3432">
        <v>0</v>
      </c>
    </row>
    <row customHeight="1" ht="45" hidden="1">
      <c r="A215" s="286" t="s">
        <v>184</v>
      </c>
      <c r="B215" s="286" t="s">
        <v>185</v>
      </c>
      <c r="D215" s="3814"/>
      <c r="E215" s="313"/>
      <c r="F215" s="34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799" t="str">
        <f>INDEX(PT_DIFFERENTIATION_NTAR,MATCH(B215,PT_DIFFERENTIATION_NTAR_ID,0))</f>
        <v/>
      </c>
      <c r="H215" s="3628"/>
      <c r="I215" s="786"/>
      <c r="J215" s="787"/>
      <c r="K215" s="398"/>
      <c r="L215" s="3628" t="s">
        <v>321</v>
      </c>
      <c r="M215" s="3795"/>
      <c r="AH215" s="3432">
        <v>0</v>
      </c>
    </row>
    <row customHeight="1" ht="18.75" hidden="1">
      <c r="C216" s="3802" t="s">
        <v>1169</v>
      </c>
      <c r="D216" s="3814"/>
      <c r="E216" s="313"/>
      <c r="F216" s="3442"/>
      <c r="G216" s="3799"/>
      <c r="H216" s="791"/>
      <c r="I216" s="172" t="s">
        <v>1168</v>
      </c>
      <c r="J216" s="226"/>
      <c r="K216" s="791"/>
      <c r="L216" s="773"/>
      <c r="M216" s="3795"/>
      <c r="AH216" s="3432">
        <v>0</v>
      </c>
    </row>
    <row customHeight="1" ht="0.75" hidden="1">
      <c r="C217" s="3802" t="s">
        <v>1176</v>
      </c>
      <c r="D217" s="3814"/>
      <c r="E217" s="313"/>
      <c r="F217" s="3442"/>
      <c r="G217" s="806"/>
      <c r="H217" s="791"/>
      <c r="I217" s="172"/>
      <c r="J217" s="226"/>
      <c r="K217" s="791"/>
      <c r="L217" s="773"/>
      <c r="M217" s="3795"/>
      <c r="AH217" s="3432">
        <v>0</v>
      </c>
    </row>
    <row customHeight="1" ht="45" hidden="1">
      <c r="A218" s="286" t="s">
        <v>190</v>
      </c>
      <c r="B218" s="286" t="s">
        <v>191</v>
      </c>
      <c r="D218" s="3814"/>
      <c r="E218" s="313"/>
      <c r="F218" s="34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799" t="str">
        <f>INDEX(PT_DIFFERENTIATION_NTAR,MATCH(B218,PT_DIFFERENTIATION_NTAR_ID,0))</f>
        <v/>
      </c>
      <c r="H218" s="3628"/>
      <c r="I218" s="786"/>
      <c r="J218" s="787"/>
      <c r="K218" s="398"/>
      <c r="L218" s="3628" t="s">
        <v>321</v>
      </c>
      <c r="M218" s="3795"/>
      <c r="AH218" s="3432">
        <v>0</v>
      </c>
    </row>
    <row customHeight="1" ht="18.75" hidden="1">
      <c r="C219" s="3802" t="s">
        <v>1169</v>
      </c>
      <c r="D219" s="3814"/>
      <c r="E219" s="313"/>
      <c r="F219" s="3442"/>
      <c r="G219" s="3799"/>
      <c r="H219" s="791"/>
      <c r="I219" s="172" t="s">
        <v>1168</v>
      </c>
      <c r="J219" s="226"/>
      <c r="K219" s="791"/>
      <c r="L219" s="773"/>
      <c r="M219" s="3795"/>
      <c r="AH219" s="3432">
        <v>0</v>
      </c>
    </row>
    <row customHeight="1" ht="0.75" hidden="1">
      <c r="C220" s="3802" t="s">
        <v>1176</v>
      </c>
      <c r="D220" s="3814"/>
      <c r="E220" s="313"/>
      <c r="F220" s="3442"/>
      <c r="G220" s="806"/>
      <c r="H220" s="791"/>
      <c r="I220" s="172"/>
      <c r="J220" s="226"/>
      <c r="K220" s="791"/>
      <c r="L220" s="773"/>
      <c r="M220" s="3795"/>
      <c r="AH220" s="3432">
        <v>0</v>
      </c>
    </row>
    <row customHeight="1" ht="18.75" hidden="1">
      <c r="A221" s="286" t="s">
        <v>196</v>
      </c>
      <c r="B221" s="286" t="s">
        <v>197</v>
      </c>
      <c r="D221" s="3814"/>
      <c r="E221" s="313"/>
      <c r="F221" s="3442" t="str">
        <f>INDEX(PT_DIFFERENTIATION_VTAR,MATCH(A221,PT_DIFFERENTIATION_VTAR_ID,0))</f>
        <v>Тарифы на услуги по передаче тепловой энергии</v>
      </c>
      <c r="G221" s="3799" t="str">
        <f>INDEX(PT_DIFFERENTIATION_NTAR,MATCH(B221,PT_DIFFERENTIATION_NTAR_ID,0))</f>
        <v/>
      </c>
      <c r="H221" s="3628"/>
      <c r="I221" s="786"/>
      <c r="J221" s="787"/>
      <c r="K221" s="398"/>
      <c r="L221" s="3628" t="s">
        <v>321</v>
      </c>
      <c r="M221" s="3795"/>
      <c r="AH221" s="3432">
        <v>0</v>
      </c>
    </row>
    <row customHeight="1" ht="18.75" hidden="1">
      <c r="C222" s="3802" t="s">
        <v>1169</v>
      </c>
      <c r="D222" s="3814"/>
      <c r="E222" s="313"/>
      <c r="F222" s="3442"/>
      <c r="G222" s="3799"/>
      <c r="H222" s="791"/>
      <c r="I222" s="172" t="s">
        <v>1168</v>
      </c>
      <c r="J222" s="226"/>
      <c r="K222" s="791"/>
      <c r="L222" s="773"/>
      <c r="M222" s="3795"/>
      <c r="AH222" s="3432">
        <v>0</v>
      </c>
    </row>
    <row customHeight="1" ht="0.75" hidden="1">
      <c r="C223" s="3802" t="s">
        <v>1176</v>
      </c>
      <c r="D223" s="3814"/>
      <c r="E223" s="313"/>
      <c r="F223" s="3442"/>
      <c r="G223" s="806"/>
      <c r="H223" s="791"/>
      <c r="I223" s="172"/>
      <c r="J223" s="226"/>
      <c r="K223" s="791"/>
      <c r="L223" s="773"/>
      <c r="M223" s="3795"/>
      <c r="AH223" s="3432">
        <v>0</v>
      </c>
    </row>
    <row customHeight="1" ht="18.75" hidden="1">
      <c r="A224" s="286" t="s">
        <v>202</v>
      </c>
      <c r="B224" s="286" t="s">
        <v>203</v>
      </c>
      <c r="D224" s="3814"/>
      <c r="E224" s="313"/>
      <c r="F224" s="3442" t="str">
        <f>INDEX(PT_DIFFERENTIATION_VTAR,MATCH(A224,PT_DIFFERENTIATION_VTAR_ID,0))</f>
        <v>Тарифы на услуги по передаче теплоносителя</v>
      </c>
      <c r="G224" s="3799" t="str">
        <f>INDEX(PT_DIFFERENTIATION_NTAR,MATCH(B224,PT_DIFFERENTIATION_NTAR_ID,0))</f>
        <v/>
      </c>
      <c r="H224" s="3628"/>
      <c r="I224" s="786"/>
      <c r="J224" s="787"/>
      <c r="K224" s="398"/>
      <c r="L224" s="3628" t="s">
        <v>321</v>
      </c>
      <c r="M224" s="3795"/>
      <c r="AH224" s="3432">
        <v>0</v>
      </c>
    </row>
    <row customHeight="1" ht="18.75" hidden="1">
      <c r="C225" s="3802" t="s">
        <v>1169</v>
      </c>
      <c r="D225" s="3814"/>
      <c r="E225" s="313"/>
      <c r="F225" s="3442"/>
      <c r="G225" s="3799"/>
      <c r="H225" s="791"/>
      <c r="I225" s="172" t="s">
        <v>1168</v>
      </c>
      <c r="J225" s="226"/>
      <c r="K225" s="791"/>
      <c r="L225" s="773"/>
      <c r="M225" s="3795"/>
      <c r="AH225" s="3432">
        <v>0</v>
      </c>
    </row>
    <row customHeight="1" ht="0.75" hidden="1">
      <c r="C226" s="3802" t="s">
        <v>1176</v>
      </c>
      <c r="D226" s="3814"/>
      <c r="E226" s="313"/>
      <c r="F226" s="3442"/>
      <c r="G226" s="806"/>
      <c r="H226" s="791"/>
      <c r="I226" s="172"/>
      <c r="J226" s="226"/>
      <c r="K226" s="791"/>
      <c r="L226" s="773"/>
      <c r="M226" s="3795"/>
      <c r="AH226" s="3432">
        <v>0</v>
      </c>
    </row>
    <row customHeight="1" ht="18.75" hidden="1">
      <c r="A227" s="286" t="s">
        <v>208</v>
      </c>
      <c r="B227" s="286" t="s">
        <v>209</v>
      </c>
      <c r="D227" s="3814"/>
      <c r="E227" s="313"/>
      <c r="F227" s="34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799" t="str">
        <f>INDEX(PT_DIFFERENTIATION_NTAR,MATCH(B227,PT_DIFFERENTIATION_NTAR_ID,0))</f>
        <v/>
      </c>
      <c r="H227" s="3628"/>
      <c r="I227" s="786"/>
      <c r="J227" s="787"/>
      <c r="K227" s="398"/>
      <c r="L227" s="3628" t="s">
        <v>321</v>
      </c>
      <c r="M227" s="3795"/>
      <c r="AH227" s="3432">
        <v>0</v>
      </c>
    </row>
    <row customHeight="1" ht="18.75" hidden="1">
      <c r="C228" s="3802" t="s">
        <v>1169</v>
      </c>
      <c r="D228" s="3814"/>
      <c r="E228" s="313"/>
      <c r="F228" s="3442"/>
      <c r="G228" s="3799"/>
      <c r="H228" s="791"/>
      <c r="I228" s="172" t="s">
        <v>1168</v>
      </c>
      <c r="J228" s="226"/>
      <c r="K228" s="791"/>
      <c r="L228" s="773"/>
      <c r="M228" s="3795"/>
      <c r="AH228" s="3432">
        <v>0</v>
      </c>
    </row>
    <row customHeight="1" ht="0.75" hidden="1">
      <c r="C229" s="3802" t="s">
        <v>1176</v>
      </c>
      <c r="D229" s="3814"/>
      <c r="E229" s="313"/>
      <c r="F229" s="3442"/>
      <c r="G229" s="806"/>
      <c r="H229" s="791"/>
      <c r="I229" s="172"/>
      <c r="J229" s="226"/>
      <c r="K229" s="791"/>
      <c r="L229" s="773"/>
      <c r="M229" s="3795"/>
      <c r="AH229" s="3432">
        <v>0</v>
      </c>
    </row>
    <row customHeight="1" ht="18.75" hidden="1">
      <c r="A230" s="286" t="s">
        <v>214</v>
      </c>
      <c r="B230" s="286" t="s">
        <v>215</v>
      </c>
      <c r="D230" s="3814"/>
      <c r="E230" s="313"/>
      <c r="F230" s="3442" t="str">
        <f>INDEX(PT_DIFFERENTIATION_VTAR,MATCH(A230,PT_DIFFERENTIATION_VTAR_ID,0))</f>
        <v>Плата за подключение (технологическое присоединение) к системе теплоснабжения</v>
      </c>
      <c r="G230" s="3799" t="str">
        <f>INDEX(PT_DIFFERENTIATION_NTAR,MATCH(B230,PT_DIFFERENTIATION_NTAR_ID,0))</f>
        <v/>
      </c>
      <c r="H230" s="3628"/>
      <c r="I230" s="786"/>
      <c r="J230" s="787"/>
      <c r="K230" s="398"/>
      <c r="L230" s="3628" t="s">
        <v>321</v>
      </c>
      <c r="M230" s="3795"/>
      <c r="AH230" s="3432">
        <v>0</v>
      </c>
    </row>
    <row customHeight="1" ht="18.75" hidden="1">
      <c r="C231" s="3802" t="s">
        <v>1169</v>
      </c>
      <c r="D231" s="3814"/>
      <c r="E231" s="313"/>
      <c r="F231" s="3442"/>
      <c r="G231" s="3799"/>
      <c r="H231" s="791"/>
      <c r="I231" s="172" t="s">
        <v>1168</v>
      </c>
      <c r="J231" s="226"/>
      <c r="K231" s="791"/>
      <c r="L231" s="773"/>
      <c r="M231" s="3795"/>
      <c r="AH231" s="3432">
        <v>0</v>
      </c>
    </row>
    <row customHeight="1" ht="0.75" hidden="1">
      <c r="C232" s="3802" t="s">
        <v>1176</v>
      </c>
      <c r="D232" s="3814"/>
      <c r="E232" s="313"/>
      <c r="F232" s="3442"/>
      <c r="G232" s="806"/>
      <c r="H232" s="791"/>
      <c r="I232" s="172"/>
      <c r="J232" s="226"/>
      <c r="K232" s="791"/>
      <c r="L232" s="773"/>
      <c r="M232" s="3795"/>
      <c r="AH232" s="3432">
        <v>0</v>
      </c>
    </row>
    <row customHeight="1" ht="18.75" hidden="1">
      <c r="A233" s="286" t="s">
        <v>220</v>
      </c>
      <c r="B233" s="286" t="s">
        <v>221</v>
      </c>
      <c r="D233" s="3814"/>
      <c r="E233" s="313"/>
      <c r="F233" s="3442" t="str">
        <f>INDEX(PT_DIFFERENTIATION_VTAR,MATCH(A233,PT_DIFFERENTIATION_VTAR_ID,0))</f>
        <v>Плата за подключение (технологическое присоединение) к системе теплоснабжения (индивидуальная)</v>
      </c>
      <c r="G233" s="3799" t="str">
        <f>INDEX(PT_DIFFERENTIATION_NTAR,MATCH(B233,PT_DIFFERENTIATION_NTAR_ID,0))</f>
        <v/>
      </c>
      <c r="H233" s="3628"/>
      <c r="I233" s="786"/>
      <c r="J233" s="787"/>
      <c r="K233" s="398"/>
      <c r="L233" s="3628" t="s">
        <v>321</v>
      </c>
      <c r="M233" s="3795"/>
      <c r="AH233" s="3432">
        <v>0</v>
      </c>
    </row>
    <row customHeight="1" ht="18.75" hidden="1">
      <c r="C234" s="3802" t="s">
        <v>1169</v>
      </c>
      <c r="D234" s="3814"/>
      <c r="E234" s="313"/>
      <c r="F234" s="3442"/>
      <c r="G234" s="3799"/>
      <c r="H234" s="791"/>
      <c r="I234" s="172" t="s">
        <v>1168</v>
      </c>
      <c r="J234" s="226"/>
      <c r="K234" s="791"/>
      <c r="L234" s="773"/>
      <c r="M234" s="3795"/>
      <c r="AH234" s="3432">
        <v>0</v>
      </c>
    </row>
    <row customHeight="1" ht="0.75" hidden="1">
      <c r="C235" s="3802" t="s">
        <v>1176</v>
      </c>
      <c r="D235" s="3814"/>
      <c r="E235" s="313"/>
      <c r="F235" s="3442"/>
      <c r="G235" s="806"/>
      <c r="H235" s="791"/>
      <c r="I235" s="172"/>
      <c r="J235" s="226"/>
      <c r="K235" s="791"/>
      <c r="L235" s="773"/>
      <c r="M235" s="3795"/>
      <c r="AH235" s="3432">
        <v>0</v>
      </c>
    </row>
    <row customHeight="1" ht="18.75" hidden="1">
      <c r="A236" s="286" t="s">
        <v>240</v>
      </c>
      <c r="B236" s="286" t="s">
        <v>241</v>
      </c>
      <c r="D236" s="3814"/>
      <c r="E236" s="313"/>
      <c r="F236" s="3442" t="str">
        <f>INDEX(PT_DIFFERENTIATION_VTAR,MATCH(A236,PT_DIFFERENTIATION_VTAR_ID,0))</f>
        <v>Тариф на питьевую воду (питьевое водоснабжение)</v>
      </c>
      <c r="G236" s="3799" t="str">
        <f>INDEX(PT_DIFFERENTIATION_NTAR,MATCH(B236,PT_DIFFERENTIATION_NTAR_ID,0))</f>
        <v/>
      </c>
      <c r="H236" s="3628"/>
      <c r="I236" s="786"/>
      <c r="J236" s="787"/>
      <c r="K236" s="398"/>
      <c r="L236" s="3628" t="s">
        <v>321</v>
      </c>
      <c r="M236" s="3795"/>
      <c r="AH236" s="3432">
        <v>0</v>
      </c>
    </row>
    <row customHeight="1" ht="18.75" hidden="1">
      <c r="C237" s="3802" t="s">
        <v>1169</v>
      </c>
      <c r="D237" s="3814"/>
      <c r="E237" s="313"/>
      <c r="F237" s="3442"/>
      <c r="G237" s="3799"/>
      <c r="H237" s="791"/>
      <c r="I237" s="172" t="s">
        <v>1168</v>
      </c>
      <c r="J237" s="226"/>
      <c r="K237" s="791"/>
      <c r="L237" s="773"/>
      <c r="M237" s="3795"/>
      <c r="AH237" s="3432">
        <v>0</v>
      </c>
    </row>
    <row customHeight="1" ht="0.75" hidden="1">
      <c r="C238" s="3802" t="s">
        <v>1176</v>
      </c>
      <c r="D238" s="3814"/>
      <c r="E238" s="313"/>
      <c r="F238" s="3442"/>
      <c r="G238" s="806"/>
      <c r="H238" s="791"/>
      <c r="I238" s="172"/>
      <c r="J238" s="226"/>
      <c r="K238" s="791"/>
      <c r="L238" s="773"/>
      <c r="M238" s="3795"/>
      <c r="AH238" s="3432">
        <v>0</v>
      </c>
    </row>
    <row customHeight="1" ht="18.75" hidden="1">
      <c r="A239" s="286" t="s">
        <v>245</v>
      </c>
      <c r="B239" s="286" t="s">
        <v>246</v>
      </c>
      <c r="D239" s="3814"/>
      <c r="E239" s="313"/>
      <c r="F239" s="3442" t="str">
        <f>INDEX(PT_DIFFERENTIATION_VTAR,MATCH(A239,PT_DIFFERENTIATION_VTAR_ID,0))</f>
        <v>Тариф на техническую воду</v>
      </c>
      <c r="G239" s="3799" t="str">
        <f>INDEX(PT_DIFFERENTIATION_NTAR,MATCH(B239,PT_DIFFERENTIATION_NTAR_ID,0))</f>
        <v/>
      </c>
      <c r="H239" s="3628"/>
      <c r="I239" s="786"/>
      <c r="J239" s="787"/>
      <c r="K239" s="398"/>
      <c r="L239" s="3628" t="s">
        <v>321</v>
      </c>
      <c r="M239" s="3795"/>
      <c r="AH239" s="3432">
        <v>0</v>
      </c>
    </row>
    <row customHeight="1" ht="18.75" hidden="1">
      <c r="C240" s="3802" t="s">
        <v>1169</v>
      </c>
      <c r="D240" s="3814"/>
      <c r="E240" s="313"/>
      <c r="F240" s="3442"/>
      <c r="G240" s="3799"/>
      <c r="H240" s="791"/>
      <c r="I240" s="172" t="s">
        <v>1168</v>
      </c>
      <c r="J240" s="226"/>
      <c r="K240" s="791"/>
      <c r="L240" s="773"/>
      <c r="M240" s="3795"/>
      <c r="AH240" s="3432">
        <v>0</v>
      </c>
    </row>
    <row customHeight="1" ht="0.75" hidden="1">
      <c r="C241" s="3802" t="s">
        <v>1176</v>
      </c>
      <c r="D241" s="3814"/>
      <c r="E241" s="313"/>
      <c r="F241" s="3442"/>
      <c r="G241" s="806"/>
      <c r="H241" s="791"/>
      <c r="I241" s="172"/>
      <c r="J241" s="226"/>
      <c r="K241" s="791"/>
      <c r="L241" s="773"/>
      <c r="M241" s="3795"/>
      <c r="AH241" s="3432">
        <v>0</v>
      </c>
    </row>
    <row customHeight="1" ht="18.75" hidden="1">
      <c r="A242" s="286" t="s">
        <v>250</v>
      </c>
      <c r="B242" s="286" t="s">
        <v>251</v>
      </c>
      <c r="D242" s="3814"/>
      <c r="E242" s="313"/>
      <c r="F242" s="3442" t="str">
        <f>INDEX(PT_DIFFERENTIATION_VTAR,MATCH(A242,PT_DIFFERENTIATION_VTAR_ID,0))</f>
        <v>Тариф на транспортировку воды</v>
      </c>
      <c r="G242" s="3799" t="str">
        <f>INDEX(PT_DIFFERENTIATION_NTAR,MATCH(B242,PT_DIFFERENTIATION_NTAR_ID,0))</f>
        <v/>
      </c>
      <c r="H242" s="3628"/>
      <c r="I242" s="786"/>
      <c r="J242" s="787"/>
      <c r="K242" s="398"/>
      <c r="L242" s="3628" t="s">
        <v>321</v>
      </c>
      <c r="M242" s="3795"/>
      <c r="AH242" s="3432">
        <v>0</v>
      </c>
    </row>
    <row customHeight="1" ht="18.75" hidden="1">
      <c r="C243" s="3802" t="s">
        <v>1169</v>
      </c>
      <c r="D243" s="3814"/>
      <c r="E243" s="313"/>
      <c r="F243" s="3442"/>
      <c r="G243" s="3799"/>
      <c r="H243" s="791"/>
      <c r="I243" s="172" t="s">
        <v>1168</v>
      </c>
      <c r="J243" s="226"/>
      <c r="K243" s="791"/>
      <c r="L243" s="773"/>
      <c r="M243" s="3795"/>
      <c r="AH243" s="3432">
        <v>0</v>
      </c>
    </row>
    <row customHeight="1" ht="0.75" hidden="1">
      <c r="C244" s="3802" t="s">
        <v>1176</v>
      </c>
      <c r="D244" s="3814"/>
      <c r="E244" s="313"/>
      <c r="F244" s="3442"/>
      <c r="G244" s="806"/>
      <c r="H244" s="791"/>
      <c r="I244" s="172"/>
      <c r="J244" s="226"/>
      <c r="K244" s="791"/>
      <c r="L244" s="773"/>
      <c r="M244" s="3795"/>
      <c r="AH244" s="3432">
        <v>0</v>
      </c>
    </row>
    <row customHeight="1" ht="18.75" hidden="1">
      <c r="A245" s="286" t="s">
        <v>255</v>
      </c>
      <c r="B245" s="286" t="s">
        <v>256</v>
      </c>
      <c r="D245" s="3814"/>
      <c r="E245" s="313"/>
      <c r="F245" s="3442" t="str">
        <f>INDEX(PT_DIFFERENTIATION_VTAR,MATCH(A245,PT_DIFFERENTIATION_VTAR_ID,0))</f>
        <v>Тариф на подвоз воды</v>
      </c>
      <c r="G245" s="3799" t="str">
        <f>INDEX(PT_DIFFERENTIATION_NTAR,MATCH(B245,PT_DIFFERENTIATION_NTAR_ID,0))</f>
        <v/>
      </c>
      <c r="H245" s="3628"/>
      <c r="I245" s="786"/>
      <c r="J245" s="787"/>
      <c r="K245" s="398"/>
      <c r="L245" s="3628" t="s">
        <v>321</v>
      </c>
      <c r="M245" s="3795"/>
      <c r="AH245" s="3432">
        <v>0</v>
      </c>
    </row>
    <row customHeight="1" ht="18.75" hidden="1">
      <c r="C246" s="3802" t="s">
        <v>1169</v>
      </c>
      <c r="D246" s="3814"/>
      <c r="E246" s="313"/>
      <c r="F246" s="3442"/>
      <c r="G246" s="3799"/>
      <c r="H246" s="791"/>
      <c r="I246" s="172" t="s">
        <v>1168</v>
      </c>
      <c r="J246" s="226"/>
      <c r="K246" s="791"/>
      <c r="L246" s="773"/>
      <c r="M246" s="3795"/>
      <c r="AH246" s="3432">
        <v>0</v>
      </c>
    </row>
    <row customHeight="1" ht="0.75" hidden="1">
      <c r="C247" s="3802" t="s">
        <v>1176</v>
      </c>
      <c r="D247" s="3814"/>
      <c r="E247" s="313"/>
      <c r="F247" s="3442"/>
      <c r="G247" s="806"/>
      <c r="H247" s="791"/>
      <c r="I247" s="172"/>
      <c r="J247" s="226"/>
      <c r="K247" s="791"/>
      <c r="L247" s="773"/>
      <c r="M247" s="3795"/>
      <c r="AH247" s="3432">
        <v>0</v>
      </c>
    </row>
    <row customHeight="1" ht="18.75" hidden="1">
      <c r="A248" s="286" t="s">
        <v>260</v>
      </c>
      <c r="B248" s="286" t="s">
        <v>261</v>
      </c>
      <c r="D248" s="3814"/>
      <c r="E248" s="313"/>
      <c r="F248" s="34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799" t="str">
        <f>INDEX(PT_DIFFERENTIATION_NTAR,MATCH(B248,PT_DIFFERENTIATION_NTAR_ID,0))</f>
        <v/>
      </c>
      <c r="H248" s="3628"/>
      <c r="I248" s="786"/>
      <c r="J248" s="787"/>
      <c r="K248" s="398"/>
      <c r="L248" s="3628" t="s">
        <v>321</v>
      </c>
      <c r="M248" s="3795"/>
      <c r="AH248" s="3432">
        <v>0</v>
      </c>
    </row>
    <row customHeight="1" ht="18.75" hidden="1">
      <c r="C249" s="3802" t="s">
        <v>1169</v>
      </c>
      <c r="D249" s="3814"/>
      <c r="E249" s="313"/>
      <c r="F249" s="3442"/>
      <c r="G249" s="3799"/>
      <c r="H249" s="791"/>
      <c r="I249" s="172" t="s">
        <v>1168</v>
      </c>
      <c r="J249" s="226"/>
      <c r="K249" s="791"/>
      <c r="L249" s="773"/>
      <c r="M249" s="3795"/>
      <c r="AH249" s="3432">
        <v>0</v>
      </c>
    </row>
    <row customHeight="1" ht="0.75" hidden="1">
      <c r="C250" s="3802" t="s">
        <v>1176</v>
      </c>
      <c r="D250" s="3814"/>
      <c r="E250" s="313"/>
      <c r="F250" s="3442"/>
      <c r="G250" s="806"/>
      <c r="H250" s="791"/>
      <c r="I250" s="172"/>
      <c r="J250" s="226"/>
      <c r="K250" s="791"/>
      <c r="L250" s="773"/>
      <c r="M250" s="3795"/>
      <c r="AH250" s="3432">
        <v>0</v>
      </c>
    </row>
    <row customHeight="1" ht="18.75" hidden="1">
      <c r="A251" s="286" t="s">
        <v>265</v>
      </c>
      <c r="B251" s="286" t="s">
        <v>266</v>
      </c>
      <c r="D251" s="3814"/>
      <c r="E251" s="313"/>
      <c r="F251" s="3442" t="str">
        <f>INDEX(PT_DIFFERENTIATION_VTAR,MATCH(A251,PT_DIFFERENTIATION_VTAR_ID,0))</f>
        <v>Тариф на горячую воду (горячее водоснабжение)</v>
      </c>
      <c r="G251" s="3799" t="str">
        <f>INDEX(PT_DIFFERENTIATION_NTAR,MATCH(B251,PT_DIFFERENTIATION_NTAR_ID,0))</f>
        <v/>
      </c>
      <c r="H251" s="3628"/>
      <c r="I251" s="786"/>
      <c r="J251" s="787"/>
      <c r="K251" s="398"/>
      <c r="L251" s="3628" t="s">
        <v>321</v>
      </c>
      <c r="M251" s="3795"/>
      <c r="AH251" s="3432">
        <v>0</v>
      </c>
    </row>
    <row customHeight="1" ht="18.75" hidden="1">
      <c r="C252" s="3802" t="s">
        <v>1169</v>
      </c>
      <c r="D252" s="3814"/>
      <c r="E252" s="313"/>
      <c r="F252" s="3442"/>
      <c r="G252" s="3799"/>
      <c r="H252" s="791"/>
      <c r="I252" s="172" t="s">
        <v>1168</v>
      </c>
      <c r="J252" s="226"/>
      <c r="K252" s="791"/>
      <c r="L252" s="773"/>
      <c r="M252" s="3795"/>
      <c r="AH252" s="3432">
        <v>0</v>
      </c>
    </row>
    <row customHeight="1" ht="0.75" hidden="1">
      <c r="C253" s="3802" t="s">
        <v>1176</v>
      </c>
      <c r="D253" s="3814"/>
      <c r="E253" s="313"/>
      <c r="F253" s="3442"/>
      <c r="G253" s="806"/>
      <c r="H253" s="791"/>
      <c r="I253" s="172"/>
      <c r="J253" s="226"/>
      <c r="K253" s="791"/>
      <c r="L253" s="773"/>
      <c r="M253" s="3795"/>
      <c r="AH253" s="3432">
        <v>0</v>
      </c>
    </row>
    <row customHeight="1" ht="18.75" hidden="1">
      <c r="A254" s="286" t="s">
        <v>270</v>
      </c>
      <c r="B254" s="286" t="s">
        <v>271</v>
      </c>
      <c r="D254" s="3814"/>
      <c r="E254" s="313"/>
      <c r="F254" s="3442" t="str">
        <f>INDEX(PT_DIFFERENTIATION_VTAR,MATCH(A254,PT_DIFFERENTIATION_VTAR_ID,0))</f>
        <v>Тариф на транспортировку горячей воды</v>
      </c>
      <c r="G254" s="3799" t="str">
        <f>INDEX(PT_DIFFERENTIATION_NTAR,MATCH(B254,PT_DIFFERENTIATION_NTAR_ID,0))</f>
        <v/>
      </c>
      <c r="H254" s="3628"/>
      <c r="I254" s="786"/>
      <c r="J254" s="787"/>
      <c r="K254" s="398"/>
      <c r="L254" s="3628" t="s">
        <v>321</v>
      </c>
      <c r="M254" s="3795"/>
      <c r="AH254" s="3432">
        <v>0</v>
      </c>
    </row>
    <row customHeight="1" ht="18.75" hidden="1">
      <c r="C255" s="3802" t="s">
        <v>1169</v>
      </c>
      <c r="D255" s="3814"/>
      <c r="E255" s="313"/>
      <c r="F255" s="3442"/>
      <c r="G255" s="3799"/>
      <c r="H255" s="791"/>
      <c r="I255" s="172" t="s">
        <v>1168</v>
      </c>
      <c r="J255" s="226"/>
      <c r="K255" s="791"/>
      <c r="L255" s="773"/>
      <c r="M255" s="3795"/>
      <c r="AH255" s="3432">
        <v>0</v>
      </c>
    </row>
    <row customHeight="1" ht="0.75" hidden="1">
      <c r="C256" s="3802" t="s">
        <v>1176</v>
      </c>
      <c r="D256" s="3814"/>
      <c r="E256" s="313"/>
      <c r="F256" s="3442"/>
      <c r="G256" s="806"/>
      <c r="H256" s="791"/>
      <c r="I256" s="172"/>
      <c r="J256" s="226"/>
      <c r="K256" s="791"/>
      <c r="L256" s="773"/>
      <c r="M256" s="3795"/>
      <c r="AH256" s="3432">
        <v>0</v>
      </c>
    </row>
    <row customHeight="1" ht="18.75" hidden="1">
      <c r="A257" s="286" t="s">
        <v>275</v>
      </c>
      <c r="B257" s="286" t="s">
        <v>276</v>
      </c>
      <c r="D257" s="3814"/>
      <c r="E257" s="313"/>
      <c r="F257" s="34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3799" t="str">
        <f>INDEX(PT_DIFFERENTIATION_NTAR,MATCH(B257,PT_DIFFERENTIATION_NTAR_ID,0))</f>
        <v/>
      </c>
      <c r="H257" s="3628"/>
      <c r="I257" s="786"/>
      <c r="J257" s="787"/>
      <c r="K257" s="398"/>
      <c r="L257" s="3628" t="s">
        <v>321</v>
      </c>
      <c r="M257" s="3795"/>
      <c r="AH257" s="3432">
        <v>0</v>
      </c>
    </row>
    <row customHeight="1" ht="18.75" hidden="1">
      <c r="C258" s="3802" t="s">
        <v>1169</v>
      </c>
      <c r="D258" s="3814"/>
      <c r="E258" s="313"/>
      <c r="F258" s="3442"/>
      <c r="G258" s="3799"/>
      <c r="H258" s="791"/>
      <c r="I258" s="172" t="s">
        <v>1168</v>
      </c>
      <c r="J258" s="226"/>
      <c r="K258" s="791"/>
      <c r="L258" s="773"/>
      <c r="M258" s="3795"/>
      <c r="AH258" s="3432">
        <v>0</v>
      </c>
    </row>
    <row customHeight="1" ht="0.75" hidden="1">
      <c r="C259" s="3802" t="s">
        <v>1176</v>
      </c>
      <c r="D259" s="3814"/>
      <c r="E259" s="313"/>
      <c r="F259" s="3442"/>
      <c r="G259" s="806"/>
      <c r="H259" s="791"/>
      <c r="I259" s="172"/>
      <c r="J259" s="226"/>
      <c r="K259" s="791"/>
      <c r="L259" s="773"/>
      <c r="M259" s="3795"/>
      <c r="AH259" s="3432">
        <v>0</v>
      </c>
    </row>
    <row customHeight="1" ht="18.75" hidden="1">
      <c r="A260" s="286" t="s">
        <v>280</v>
      </c>
      <c r="B260" s="286" t="s">
        <v>281</v>
      </c>
      <c r="D260" s="3814"/>
      <c r="E260" s="313"/>
      <c r="F260" s="3442" t="str">
        <f>INDEX(PT_DIFFERENTIATION_VTAR,MATCH(A260,PT_DIFFERENTIATION_VTAR_ID,0))</f>
        <v>Тариф на водоотведение</v>
      </c>
      <c r="G260" s="3799" t="str">
        <f>INDEX(PT_DIFFERENTIATION_NTAR,MATCH(B260,PT_DIFFERENTIATION_NTAR_ID,0))</f>
        <v/>
      </c>
      <c r="H260" s="3628"/>
      <c r="I260" s="786"/>
      <c r="J260" s="787"/>
      <c r="K260" s="398"/>
      <c r="L260" s="3628" t="s">
        <v>321</v>
      </c>
      <c r="M260" s="3795"/>
      <c r="AH260" s="3432">
        <v>0</v>
      </c>
    </row>
    <row customHeight="1" ht="18.75" hidden="1">
      <c r="C261" s="3802" t="s">
        <v>1169</v>
      </c>
      <c r="D261" s="3814"/>
      <c r="E261" s="313"/>
      <c r="F261" s="3442"/>
      <c r="G261" s="3799"/>
      <c r="H261" s="791"/>
      <c r="I261" s="172" t="s">
        <v>1168</v>
      </c>
      <c r="J261" s="226"/>
      <c r="K261" s="791"/>
      <c r="L261" s="773"/>
      <c r="M261" s="3795"/>
      <c r="AH261" s="3432">
        <v>0</v>
      </c>
    </row>
    <row customHeight="1" ht="0.75" hidden="1">
      <c r="C262" s="3802" t="s">
        <v>1176</v>
      </c>
      <c r="D262" s="3814"/>
      <c r="E262" s="313"/>
      <c r="F262" s="3442"/>
      <c r="G262" s="806"/>
      <c r="H262" s="791"/>
      <c r="I262" s="172"/>
      <c r="J262" s="226"/>
      <c r="K262" s="791"/>
      <c r="L262" s="773"/>
      <c r="M262" s="3795"/>
      <c r="AH262" s="3432">
        <v>0</v>
      </c>
    </row>
    <row customHeight="1" ht="18.75" hidden="1">
      <c r="A263" s="286" t="s">
        <v>285</v>
      </c>
      <c r="B263" s="286" t="s">
        <v>286</v>
      </c>
      <c r="D263" s="3814"/>
      <c r="E263" s="313"/>
      <c r="F263" s="3442" t="str">
        <f>INDEX(PT_DIFFERENTIATION_VTAR,MATCH(A263,PT_DIFFERENTIATION_VTAR_ID,0))</f>
        <v>Тариф на транспортировку сточных вод</v>
      </c>
      <c r="G263" s="3799" t="str">
        <f>INDEX(PT_DIFFERENTIATION_NTAR,MATCH(B263,PT_DIFFERENTIATION_NTAR_ID,0))</f>
        <v/>
      </c>
      <c r="H263" s="3628"/>
      <c r="I263" s="786"/>
      <c r="J263" s="787"/>
      <c r="K263" s="398"/>
      <c r="L263" s="3628" t="s">
        <v>321</v>
      </c>
      <c r="M263" s="3795"/>
      <c r="AH263" s="3432">
        <v>0</v>
      </c>
    </row>
    <row customHeight="1" ht="18.75" hidden="1">
      <c r="C264" s="3802" t="s">
        <v>1169</v>
      </c>
      <c r="D264" s="3814"/>
      <c r="E264" s="313"/>
      <c r="F264" s="3442"/>
      <c r="G264" s="3799"/>
      <c r="H264" s="791"/>
      <c r="I264" s="172" t="s">
        <v>1168</v>
      </c>
      <c r="J264" s="226"/>
      <c r="K264" s="791"/>
      <c r="L264" s="773"/>
      <c r="M264" s="3795"/>
      <c r="AH264" s="3432">
        <v>0</v>
      </c>
    </row>
    <row customHeight="1" ht="0.75" hidden="1">
      <c r="C265" s="3802" t="s">
        <v>1176</v>
      </c>
      <c r="D265" s="3814"/>
      <c r="E265" s="313"/>
      <c r="F265" s="3442"/>
      <c r="G265" s="806"/>
      <c r="H265" s="791"/>
      <c r="I265" s="172"/>
      <c r="J265" s="226"/>
      <c r="K265" s="791"/>
      <c r="L265" s="773"/>
      <c r="M265" s="3795"/>
      <c r="AH265" s="3432">
        <v>0</v>
      </c>
    </row>
    <row customHeight="1" ht="18.75" hidden="1">
      <c r="A266" s="286" t="s">
        <v>290</v>
      </c>
      <c r="B266" s="286" t="s">
        <v>291</v>
      </c>
      <c r="D266" s="3814"/>
      <c r="E266" s="313"/>
      <c r="F266" s="3442" t="str">
        <f>INDEX(PT_DIFFERENTIATION_VTAR,MATCH(A266,PT_DIFFERENTIATION_VTAR_ID,0))</f>
        <v>Тариф на подключение (технологическое присоединение) к централизованной системе водоотведения</v>
      </c>
      <c r="G266" s="3799" t="str">
        <f>INDEX(PT_DIFFERENTIATION_NTAR,MATCH(B266,PT_DIFFERENTIATION_NTAR_ID,0))</f>
        <v/>
      </c>
      <c r="H266" s="3628"/>
      <c r="I266" s="786"/>
      <c r="J266" s="787"/>
      <c r="K266" s="398"/>
      <c r="L266" s="3628" t="s">
        <v>321</v>
      </c>
      <c r="M266" s="3795"/>
      <c r="AH266" s="3432">
        <v>0</v>
      </c>
    </row>
    <row customHeight="1" ht="18.75" hidden="1">
      <c r="C267" s="3802" t="s">
        <v>1169</v>
      </c>
      <c r="D267" s="3814"/>
      <c r="E267" s="313"/>
      <c r="F267" s="3442"/>
      <c r="G267" s="3799"/>
      <c r="H267" s="791"/>
      <c r="I267" s="172" t="s">
        <v>1168</v>
      </c>
      <c r="J267" s="226"/>
      <c r="K267" s="791"/>
      <c r="L267" s="773"/>
      <c r="M267" s="3795"/>
      <c r="AH267" s="3432">
        <v>0</v>
      </c>
    </row>
    <row customHeight="1" ht="1.05">
      <c r="C268" s="3802" t="s">
        <v>1176</v>
      </c>
      <c r="D268" s="3814"/>
      <c r="E268" s="313"/>
      <c r="F268" s="3442"/>
      <c r="G268" s="806"/>
      <c r="H268" s="791"/>
      <c r="I268" s="172"/>
      <c r="J268" s="226"/>
      <c r="K268" s="791"/>
      <c r="L268" s="773"/>
      <c r="M268" s="3795"/>
      <c r="AH268" s="3432">
        <v>1</v>
      </c>
    </row>
    <row customHeight="1" ht="27.299999999999997">
      <c r="D269" s="3719"/>
      <c r="E269" s="313" t="s">
        <v>90</v>
      </c>
      <c r="F269" s="37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765"/>
      <c r="H269" s="3765"/>
      <c r="I269" s="3765"/>
      <c r="J269" s="3765"/>
      <c r="K269" s="3765"/>
      <c r="L269" s="3765"/>
      <c r="M269" s="3816"/>
      <c r="AH269" s="3432">
        <v>26</v>
      </c>
    </row>
    <row customHeight="1" ht="60.75" hidden="1">
      <c r="A270" s="286" t="s">
        <v>172</v>
      </c>
      <c r="B270" s="286" t="s">
        <v>173</v>
      </c>
      <c r="D270" s="3814"/>
      <c r="E270" s="313"/>
      <c r="F270" s="34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799" t="str">
        <f>INDEX(PT_DIFFERENTIATION_NTAR,MATCH(B270,PT_DIFFERENTIATION_NTAR_ID,0))</f>
        <v/>
      </c>
      <c r="H270" s="3628"/>
      <c r="I270" s="786"/>
      <c r="J270" s="787"/>
      <c r="K270" s="398"/>
      <c r="L270" s="3628" t="s">
        <v>321</v>
      </c>
      <c r="M270" s="35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0" s="3432">
        <v>0</v>
      </c>
    </row>
    <row customHeight="1" ht="18.75" hidden="1">
      <c r="C271" s="3802" t="s">
        <v>1169</v>
      </c>
      <c r="D271" s="3814"/>
      <c r="E271" s="313"/>
      <c r="F271" s="3442"/>
      <c r="G271" s="3799"/>
      <c r="H271" s="791"/>
      <c r="I271" s="172" t="s">
        <v>1168</v>
      </c>
      <c r="J271" s="226"/>
      <c r="K271" s="791"/>
      <c r="L271" s="773"/>
      <c r="M271" s="3548"/>
      <c r="AH271" s="3432">
        <v>0</v>
      </c>
    </row>
    <row customHeight="1" ht="0.75" hidden="1">
      <c r="C272" s="3802" t="s">
        <v>1176</v>
      </c>
      <c r="D272" s="3814"/>
      <c r="E272" s="313"/>
      <c r="F272" s="3442"/>
      <c r="G272" s="806"/>
      <c r="H272" s="791"/>
      <c r="I272" s="172"/>
      <c r="J272" s="226"/>
      <c r="K272" s="791"/>
      <c r="L272" s="773"/>
      <c r="M272" s="3548"/>
      <c r="AH272" s="3432">
        <v>0</v>
      </c>
    </row>
    <row customHeight="1" ht="45" hidden="1">
      <c r="A273" s="286" t="s">
        <v>177</v>
      </c>
      <c r="B273" s="286" t="s">
        <v>178</v>
      </c>
      <c r="D273" s="3814"/>
      <c r="E273" s="313"/>
      <c r="F273" s="3442" t="str">
        <f>INDEX(PT_DIFFERENTIATION_VTAR,MATCH(A273,PT_DIFFERENTIATION_VTAR_ID,0))</f>
        <v/>
      </c>
      <c r="G273" s="3799" t="str">
        <f>INDEX(PT_DIFFERENTIATION_NTAR,MATCH(B273,PT_DIFFERENTIATION_NTAR_ID,0))</f>
        <v/>
      </c>
      <c r="H273" s="3628"/>
      <c r="I273" s="786"/>
      <c r="J273" s="787"/>
      <c r="K273" s="398"/>
      <c r="L273" s="3628" t="s">
        <v>321</v>
      </c>
      <c r="M273" s="3550"/>
      <c r="AH273" s="3432">
        <v>0</v>
      </c>
    </row>
    <row customHeight="1" ht="18.75" hidden="1">
      <c r="C274" s="3802" t="s">
        <v>1169</v>
      </c>
      <c r="D274" s="3814"/>
      <c r="E274" s="313"/>
      <c r="F274" s="3442"/>
      <c r="G274" s="3799"/>
      <c r="H274" s="791"/>
      <c r="I274" s="172" t="s">
        <v>1168</v>
      </c>
      <c r="J274" s="226"/>
      <c r="K274" s="791"/>
      <c r="L274" s="773"/>
      <c r="M274" s="3548"/>
      <c r="AH274" s="3432">
        <v>0</v>
      </c>
    </row>
    <row customHeight="1" ht="0.75" hidden="1">
      <c r="C275" s="3802" t="s">
        <v>1176</v>
      </c>
      <c r="D275" s="3814"/>
      <c r="E275" s="313"/>
      <c r="F275" s="3442"/>
      <c r="G275" s="806"/>
      <c r="H275" s="791"/>
      <c r="I275" s="172"/>
      <c r="J275" s="226"/>
      <c r="K275" s="791"/>
      <c r="L275" s="773"/>
      <c r="M275" s="3795"/>
      <c r="AH275" s="3432">
        <v>0</v>
      </c>
    </row>
    <row customHeight="1" ht="45" hidden="1">
      <c r="A276" s="286" t="s">
        <v>184</v>
      </c>
      <c r="B276" s="286" t="s">
        <v>185</v>
      </c>
      <c r="D276" s="3814"/>
      <c r="E276" s="313"/>
      <c r="F276" s="34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799" t="str">
        <f>INDEX(PT_DIFFERENTIATION_NTAR,MATCH(B276,PT_DIFFERENTIATION_NTAR_ID,0))</f>
        <v/>
      </c>
      <c r="H276" s="3628"/>
      <c r="I276" s="786"/>
      <c r="J276" s="787"/>
      <c r="K276" s="398"/>
      <c r="L276" s="3628" t="s">
        <v>321</v>
      </c>
      <c r="M276" s="3795"/>
      <c r="AH276" s="3432">
        <v>0</v>
      </c>
    </row>
    <row customHeight="1" ht="18.75" hidden="1">
      <c r="C277" s="3802" t="s">
        <v>1169</v>
      </c>
      <c r="D277" s="3814"/>
      <c r="E277" s="313"/>
      <c r="F277" s="3442"/>
      <c r="G277" s="3799"/>
      <c r="H277" s="791"/>
      <c r="I277" s="172" t="s">
        <v>1168</v>
      </c>
      <c r="J277" s="226"/>
      <c r="K277" s="791"/>
      <c r="L277" s="773"/>
      <c r="M277" s="3795"/>
      <c r="AH277" s="3432">
        <v>0</v>
      </c>
    </row>
    <row customHeight="1" ht="0.75" hidden="1">
      <c r="C278" s="3802" t="s">
        <v>1176</v>
      </c>
      <c r="D278" s="3814"/>
      <c r="E278" s="313"/>
      <c r="F278" s="3442"/>
      <c r="G278" s="806"/>
      <c r="H278" s="791"/>
      <c r="I278" s="172"/>
      <c r="J278" s="226"/>
      <c r="K278" s="791"/>
      <c r="L278" s="773"/>
      <c r="M278" s="3795"/>
      <c r="AH278" s="3432">
        <v>0</v>
      </c>
    </row>
    <row customHeight="1" ht="45" hidden="1">
      <c r="A279" s="286" t="s">
        <v>190</v>
      </c>
      <c r="B279" s="286" t="s">
        <v>191</v>
      </c>
      <c r="D279" s="3814"/>
      <c r="E279" s="313"/>
      <c r="F279" s="34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799" t="str">
        <f>INDEX(PT_DIFFERENTIATION_NTAR,MATCH(B279,PT_DIFFERENTIATION_NTAR_ID,0))</f>
        <v/>
      </c>
      <c r="H279" s="3628"/>
      <c r="I279" s="786"/>
      <c r="J279" s="787"/>
      <c r="K279" s="398"/>
      <c r="L279" s="3628" t="s">
        <v>321</v>
      </c>
      <c r="M279" s="3795"/>
      <c r="AH279" s="3432">
        <v>0</v>
      </c>
    </row>
    <row customHeight="1" ht="18.75" hidden="1">
      <c r="C280" s="3802" t="s">
        <v>1169</v>
      </c>
      <c r="D280" s="3814"/>
      <c r="E280" s="313"/>
      <c r="F280" s="3442"/>
      <c r="G280" s="3799"/>
      <c r="H280" s="791"/>
      <c r="I280" s="172" t="s">
        <v>1168</v>
      </c>
      <c r="J280" s="226"/>
      <c r="K280" s="791"/>
      <c r="L280" s="773"/>
      <c r="M280" s="3795"/>
      <c r="AH280" s="3432">
        <v>0</v>
      </c>
    </row>
    <row customHeight="1" ht="0.75" hidden="1">
      <c r="C281" s="3802" t="s">
        <v>1176</v>
      </c>
      <c r="D281" s="3814"/>
      <c r="E281" s="313"/>
      <c r="F281" s="3442"/>
      <c r="G281" s="806"/>
      <c r="H281" s="791"/>
      <c r="I281" s="172"/>
      <c r="J281" s="226"/>
      <c r="K281" s="791"/>
      <c r="L281" s="773"/>
      <c r="M281" s="3795"/>
      <c r="AH281" s="3432">
        <v>0</v>
      </c>
    </row>
    <row customHeight="1" ht="18.75" hidden="1">
      <c r="A282" s="286" t="s">
        <v>196</v>
      </c>
      <c r="B282" s="286" t="s">
        <v>197</v>
      </c>
      <c r="D282" s="3814"/>
      <c r="E282" s="313"/>
      <c r="F282" s="3442" t="str">
        <f>INDEX(PT_DIFFERENTIATION_VTAR,MATCH(A282,PT_DIFFERENTIATION_VTAR_ID,0))</f>
        <v>Тарифы на услуги по передаче тепловой энергии</v>
      </c>
      <c r="G282" s="3799" t="str">
        <f>INDEX(PT_DIFFERENTIATION_NTAR,MATCH(B282,PT_DIFFERENTIATION_NTAR_ID,0))</f>
        <v/>
      </c>
      <c r="H282" s="3628"/>
      <c r="I282" s="786"/>
      <c r="J282" s="787"/>
      <c r="K282" s="398"/>
      <c r="L282" s="3628" t="s">
        <v>321</v>
      </c>
      <c r="M282" s="3795"/>
      <c r="AH282" s="3432">
        <v>0</v>
      </c>
    </row>
    <row customHeight="1" ht="18.75" hidden="1">
      <c r="C283" s="3802" t="s">
        <v>1169</v>
      </c>
      <c r="D283" s="3814"/>
      <c r="E283" s="313"/>
      <c r="F283" s="3442"/>
      <c r="G283" s="3799"/>
      <c r="H283" s="791"/>
      <c r="I283" s="172" t="s">
        <v>1168</v>
      </c>
      <c r="J283" s="226"/>
      <c r="K283" s="791"/>
      <c r="L283" s="773"/>
      <c r="M283" s="3795"/>
      <c r="AH283" s="3432">
        <v>0</v>
      </c>
    </row>
    <row customHeight="1" ht="0.75" hidden="1">
      <c r="C284" s="3802" t="s">
        <v>1176</v>
      </c>
      <c r="D284" s="3814"/>
      <c r="E284" s="313"/>
      <c r="F284" s="3442"/>
      <c r="G284" s="806"/>
      <c r="H284" s="791"/>
      <c r="I284" s="172"/>
      <c r="J284" s="226"/>
      <c r="K284" s="791"/>
      <c r="L284" s="773"/>
      <c r="M284" s="3795"/>
      <c r="AH284" s="3432">
        <v>0</v>
      </c>
    </row>
    <row customHeight="1" ht="18.75" hidden="1">
      <c r="A285" s="286" t="s">
        <v>202</v>
      </c>
      <c r="B285" s="286" t="s">
        <v>203</v>
      </c>
      <c r="D285" s="3814"/>
      <c r="E285" s="313"/>
      <c r="F285" s="3442" t="str">
        <f>INDEX(PT_DIFFERENTIATION_VTAR,MATCH(A285,PT_DIFFERENTIATION_VTAR_ID,0))</f>
        <v>Тарифы на услуги по передаче теплоносителя</v>
      </c>
      <c r="G285" s="3799" t="str">
        <f>INDEX(PT_DIFFERENTIATION_NTAR,MATCH(B285,PT_DIFFERENTIATION_NTAR_ID,0))</f>
        <v/>
      </c>
      <c r="H285" s="3628"/>
      <c r="I285" s="786"/>
      <c r="J285" s="787"/>
      <c r="K285" s="398"/>
      <c r="L285" s="3628" t="s">
        <v>321</v>
      </c>
      <c r="M285" s="3795"/>
      <c r="AH285" s="3432">
        <v>0</v>
      </c>
    </row>
    <row customHeight="1" ht="18.75" hidden="1">
      <c r="C286" s="3802" t="s">
        <v>1169</v>
      </c>
      <c r="D286" s="3814"/>
      <c r="E286" s="313"/>
      <c r="F286" s="3442"/>
      <c r="G286" s="3799"/>
      <c r="H286" s="791"/>
      <c r="I286" s="172" t="s">
        <v>1168</v>
      </c>
      <c r="J286" s="226"/>
      <c r="K286" s="791"/>
      <c r="L286" s="773"/>
      <c r="M286" s="3795"/>
      <c r="AH286" s="3432">
        <v>0</v>
      </c>
    </row>
    <row customHeight="1" ht="0.75" hidden="1">
      <c r="C287" s="3802" t="s">
        <v>1176</v>
      </c>
      <c r="D287" s="3814"/>
      <c r="E287" s="313"/>
      <c r="F287" s="3442"/>
      <c r="G287" s="806"/>
      <c r="H287" s="791"/>
      <c r="I287" s="172"/>
      <c r="J287" s="226"/>
      <c r="K287" s="791"/>
      <c r="L287" s="773"/>
      <c r="M287" s="3795"/>
      <c r="AH287" s="3432">
        <v>0</v>
      </c>
    </row>
    <row customHeight="1" ht="18.75" hidden="1">
      <c r="A288" s="286" t="s">
        <v>208</v>
      </c>
      <c r="B288" s="286" t="s">
        <v>209</v>
      </c>
      <c r="D288" s="3814"/>
      <c r="E288" s="313"/>
      <c r="F288" s="34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799" t="str">
        <f>INDEX(PT_DIFFERENTIATION_NTAR,MATCH(B288,PT_DIFFERENTIATION_NTAR_ID,0))</f>
        <v/>
      </c>
      <c r="H288" s="3628"/>
      <c r="I288" s="786"/>
      <c r="J288" s="787"/>
      <c r="K288" s="398"/>
      <c r="L288" s="3628" t="s">
        <v>321</v>
      </c>
      <c r="M288" s="3795"/>
      <c r="AH288" s="3432">
        <v>0</v>
      </c>
    </row>
    <row customHeight="1" ht="18.75" hidden="1">
      <c r="C289" s="3802" t="s">
        <v>1169</v>
      </c>
      <c r="D289" s="3814"/>
      <c r="E289" s="313"/>
      <c r="F289" s="3442"/>
      <c r="G289" s="3799"/>
      <c r="H289" s="791"/>
      <c r="I289" s="172" t="s">
        <v>1168</v>
      </c>
      <c r="J289" s="226"/>
      <c r="K289" s="791"/>
      <c r="L289" s="773"/>
      <c r="M289" s="3795"/>
      <c r="AH289" s="3432">
        <v>0</v>
      </c>
    </row>
    <row customHeight="1" ht="0.75" hidden="1">
      <c r="C290" s="3802" t="s">
        <v>1176</v>
      </c>
      <c r="D290" s="3814"/>
      <c r="E290" s="313"/>
      <c r="F290" s="3442"/>
      <c r="G290" s="806"/>
      <c r="H290" s="791"/>
      <c r="I290" s="172"/>
      <c r="J290" s="226"/>
      <c r="K290" s="791"/>
      <c r="L290" s="773"/>
      <c r="M290" s="3795"/>
      <c r="AH290" s="3432">
        <v>0</v>
      </c>
    </row>
    <row customHeight="1" ht="18.75" hidden="1">
      <c r="A291" s="286" t="s">
        <v>214</v>
      </c>
      <c r="B291" s="286" t="s">
        <v>215</v>
      </c>
      <c r="D291" s="3814"/>
      <c r="E291" s="313"/>
      <c r="F291" s="3442" t="str">
        <f>INDEX(PT_DIFFERENTIATION_VTAR,MATCH(A291,PT_DIFFERENTIATION_VTAR_ID,0))</f>
        <v>Плата за подключение (технологическое присоединение) к системе теплоснабжения</v>
      </c>
      <c r="G291" s="3799" t="str">
        <f>INDEX(PT_DIFFERENTIATION_NTAR,MATCH(B291,PT_DIFFERENTIATION_NTAR_ID,0))</f>
        <v/>
      </c>
      <c r="H291" s="3628"/>
      <c r="I291" s="786"/>
      <c r="J291" s="787"/>
      <c r="K291" s="398"/>
      <c r="L291" s="3628" t="s">
        <v>321</v>
      </c>
      <c r="M291" s="3795"/>
      <c r="AH291" s="3432">
        <v>0</v>
      </c>
    </row>
    <row customHeight="1" ht="18.75" hidden="1">
      <c r="C292" s="3802" t="s">
        <v>1169</v>
      </c>
      <c r="D292" s="3814"/>
      <c r="E292" s="313"/>
      <c r="F292" s="3442"/>
      <c r="G292" s="3799"/>
      <c r="H292" s="791"/>
      <c r="I292" s="172" t="s">
        <v>1168</v>
      </c>
      <c r="J292" s="226"/>
      <c r="K292" s="791"/>
      <c r="L292" s="773"/>
      <c r="M292" s="3795"/>
      <c r="AH292" s="3432">
        <v>0</v>
      </c>
    </row>
    <row customHeight="1" ht="0.75" hidden="1">
      <c r="C293" s="3802" t="s">
        <v>1176</v>
      </c>
      <c r="D293" s="3814"/>
      <c r="E293" s="313"/>
      <c r="F293" s="3442"/>
      <c r="G293" s="806"/>
      <c r="H293" s="791"/>
      <c r="I293" s="172"/>
      <c r="J293" s="226"/>
      <c r="K293" s="791"/>
      <c r="L293" s="773"/>
      <c r="M293" s="3795"/>
      <c r="AH293" s="3432">
        <v>0</v>
      </c>
    </row>
    <row customHeight="1" ht="18.75" hidden="1">
      <c r="A294" s="286" t="s">
        <v>220</v>
      </c>
      <c r="B294" s="286" t="s">
        <v>221</v>
      </c>
      <c r="D294" s="3814"/>
      <c r="E294" s="313"/>
      <c r="F294" s="3442" t="str">
        <f>INDEX(PT_DIFFERENTIATION_VTAR,MATCH(A294,PT_DIFFERENTIATION_VTAR_ID,0))</f>
        <v>Плата за подключение (технологическое присоединение) к системе теплоснабжения (индивидуальная)</v>
      </c>
      <c r="G294" s="3799" t="str">
        <f>INDEX(PT_DIFFERENTIATION_NTAR,MATCH(B294,PT_DIFFERENTIATION_NTAR_ID,0))</f>
        <v/>
      </c>
      <c r="H294" s="3628"/>
      <c r="I294" s="786"/>
      <c r="J294" s="787"/>
      <c r="K294" s="398"/>
      <c r="L294" s="3628" t="s">
        <v>321</v>
      </c>
      <c r="M294" s="3795"/>
      <c r="AH294" s="3432">
        <v>0</v>
      </c>
    </row>
    <row customHeight="1" ht="18.75" hidden="1">
      <c r="C295" s="3802" t="s">
        <v>1169</v>
      </c>
      <c r="D295" s="3814"/>
      <c r="E295" s="313"/>
      <c r="F295" s="3442"/>
      <c r="G295" s="3799"/>
      <c r="H295" s="791"/>
      <c r="I295" s="172" t="s">
        <v>1168</v>
      </c>
      <c r="J295" s="226"/>
      <c r="K295" s="791"/>
      <c r="L295" s="773"/>
      <c r="M295" s="3795"/>
      <c r="AH295" s="3432">
        <v>0</v>
      </c>
    </row>
    <row customHeight="1" ht="0.75" hidden="1">
      <c r="C296" s="3802" t="s">
        <v>1176</v>
      </c>
      <c r="D296" s="3814"/>
      <c r="E296" s="313"/>
      <c r="F296" s="3442"/>
      <c r="G296" s="806"/>
      <c r="H296" s="791"/>
      <c r="I296" s="172"/>
      <c r="J296" s="226"/>
      <c r="K296" s="791"/>
      <c r="L296" s="773"/>
      <c r="M296" s="3795"/>
      <c r="AH296" s="3432">
        <v>0</v>
      </c>
    </row>
    <row customHeight="1" ht="18.75" hidden="1">
      <c r="A297" s="286" t="s">
        <v>240</v>
      </c>
      <c r="B297" s="286" t="s">
        <v>241</v>
      </c>
      <c r="D297" s="3814"/>
      <c r="E297" s="313"/>
      <c r="F297" s="3442" t="str">
        <f>INDEX(PT_DIFFERENTIATION_VTAR,MATCH(A297,PT_DIFFERENTIATION_VTAR_ID,0))</f>
        <v>Тариф на питьевую воду (питьевое водоснабжение)</v>
      </c>
      <c r="G297" s="3799" t="str">
        <f>INDEX(PT_DIFFERENTIATION_NTAR,MATCH(B297,PT_DIFFERENTIATION_NTAR_ID,0))</f>
        <v/>
      </c>
      <c r="H297" s="3628"/>
      <c r="I297" s="786"/>
      <c r="J297" s="787"/>
      <c r="K297" s="398"/>
      <c r="L297" s="3628" t="s">
        <v>321</v>
      </c>
      <c r="M297" s="3795"/>
      <c r="AH297" s="3432">
        <v>0</v>
      </c>
    </row>
    <row customHeight="1" ht="18.75" hidden="1">
      <c r="C298" s="3802" t="s">
        <v>1169</v>
      </c>
      <c r="D298" s="3814"/>
      <c r="E298" s="313"/>
      <c r="F298" s="3442"/>
      <c r="G298" s="3799"/>
      <c r="H298" s="791"/>
      <c r="I298" s="172" t="s">
        <v>1168</v>
      </c>
      <c r="J298" s="226"/>
      <c r="K298" s="791"/>
      <c r="L298" s="773"/>
      <c r="M298" s="3795"/>
      <c r="AH298" s="3432">
        <v>0</v>
      </c>
    </row>
    <row customHeight="1" ht="0.75" hidden="1">
      <c r="C299" s="3802" t="s">
        <v>1176</v>
      </c>
      <c r="D299" s="3814"/>
      <c r="E299" s="313"/>
      <c r="F299" s="3442"/>
      <c r="G299" s="806"/>
      <c r="H299" s="791"/>
      <c r="I299" s="172"/>
      <c r="J299" s="226"/>
      <c r="K299" s="791"/>
      <c r="L299" s="773"/>
      <c r="M299" s="3795"/>
      <c r="AH299" s="3432">
        <v>0</v>
      </c>
    </row>
    <row customHeight="1" ht="18.75" hidden="1">
      <c r="A300" s="286" t="s">
        <v>245</v>
      </c>
      <c r="B300" s="286" t="s">
        <v>246</v>
      </c>
      <c r="D300" s="3814"/>
      <c r="E300" s="313"/>
      <c r="F300" s="3442" t="str">
        <f>INDEX(PT_DIFFERENTIATION_VTAR,MATCH(A300,PT_DIFFERENTIATION_VTAR_ID,0))</f>
        <v>Тариф на техническую воду</v>
      </c>
      <c r="G300" s="3799" t="str">
        <f>INDEX(PT_DIFFERENTIATION_NTAR,MATCH(B300,PT_DIFFERENTIATION_NTAR_ID,0))</f>
        <v/>
      </c>
      <c r="H300" s="3628"/>
      <c r="I300" s="786"/>
      <c r="J300" s="787"/>
      <c r="K300" s="398"/>
      <c r="L300" s="3628" t="s">
        <v>321</v>
      </c>
      <c r="M300" s="3795"/>
      <c r="AH300" s="3432">
        <v>0</v>
      </c>
    </row>
    <row customHeight="1" ht="18.75" hidden="1">
      <c r="C301" s="3802" t="s">
        <v>1169</v>
      </c>
      <c r="D301" s="3814"/>
      <c r="E301" s="313"/>
      <c r="F301" s="3442"/>
      <c r="G301" s="3799"/>
      <c r="H301" s="791"/>
      <c r="I301" s="172" t="s">
        <v>1168</v>
      </c>
      <c r="J301" s="226"/>
      <c r="K301" s="791"/>
      <c r="L301" s="773"/>
      <c r="M301" s="3795"/>
      <c r="AH301" s="3432">
        <v>0</v>
      </c>
    </row>
    <row customHeight="1" ht="0.75" hidden="1">
      <c r="C302" s="3802" t="s">
        <v>1176</v>
      </c>
      <c r="D302" s="3814"/>
      <c r="E302" s="313"/>
      <c r="F302" s="3442"/>
      <c r="G302" s="806"/>
      <c r="H302" s="791"/>
      <c r="I302" s="172"/>
      <c r="J302" s="226"/>
      <c r="K302" s="791"/>
      <c r="L302" s="773"/>
      <c r="M302" s="3795"/>
      <c r="AH302" s="3432">
        <v>0</v>
      </c>
    </row>
    <row customHeight="1" ht="18.75" hidden="1">
      <c r="A303" s="286" t="s">
        <v>250</v>
      </c>
      <c r="B303" s="286" t="s">
        <v>251</v>
      </c>
      <c r="D303" s="3814"/>
      <c r="E303" s="313"/>
      <c r="F303" s="3442" t="str">
        <f>INDEX(PT_DIFFERENTIATION_VTAR,MATCH(A303,PT_DIFFERENTIATION_VTAR_ID,0))</f>
        <v>Тариф на транспортировку воды</v>
      </c>
      <c r="G303" s="3799" t="str">
        <f>INDEX(PT_DIFFERENTIATION_NTAR,MATCH(B303,PT_DIFFERENTIATION_NTAR_ID,0))</f>
        <v/>
      </c>
      <c r="H303" s="3628"/>
      <c r="I303" s="786"/>
      <c r="J303" s="787"/>
      <c r="K303" s="398"/>
      <c r="L303" s="3628" t="s">
        <v>321</v>
      </c>
      <c r="M303" s="3795"/>
      <c r="AH303" s="3432">
        <v>0</v>
      </c>
    </row>
    <row customHeight="1" ht="18.75" hidden="1">
      <c r="C304" s="3802" t="s">
        <v>1169</v>
      </c>
      <c r="D304" s="3814"/>
      <c r="E304" s="313"/>
      <c r="F304" s="3442"/>
      <c r="G304" s="3799"/>
      <c r="H304" s="791"/>
      <c r="I304" s="172" t="s">
        <v>1168</v>
      </c>
      <c r="J304" s="226"/>
      <c r="K304" s="791"/>
      <c r="L304" s="773"/>
      <c r="M304" s="3795"/>
      <c r="AH304" s="3432">
        <v>0</v>
      </c>
    </row>
    <row customHeight="1" ht="0.75" hidden="1">
      <c r="C305" s="3802" t="s">
        <v>1176</v>
      </c>
      <c r="D305" s="3814"/>
      <c r="E305" s="313"/>
      <c r="F305" s="3442"/>
      <c r="G305" s="806"/>
      <c r="H305" s="791"/>
      <c r="I305" s="172"/>
      <c r="J305" s="226"/>
      <c r="K305" s="791"/>
      <c r="L305" s="773"/>
      <c r="M305" s="3795"/>
      <c r="AH305" s="3432">
        <v>0</v>
      </c>
    </row>
    <row customHeight="1" ht="18.75" hidden="1">
      <c r="A306" s="286" t="s">
        <v>255</v>
      </c>
      <c r="B306" s="286" t="s">
        <v>256</v>
      </c>
      <c r="D306" s="3814"/>
      <c r="E306" s="313"/>
      <c r="F306" s="3442" t="str">
        <f>INDEX(PT_DIFFERENTIATION_VTAR,MATCH(A306,PT_DIFFERENTIATION_VTAR_ID,0))</f>
        <v>Тариф на подвоз воды</v>
      </c>
      <c r="G306" s="3799" t="str">
        <f>INDEX(PT_DIFFERENTIATION_NTAR,MATCH(B306,PT_DIFFERENTIATION_NTAR_ID,0))</f>
        <v/>
      </c>
      <c r="H306" s="3628"/>
      <c r="I306" s="786"/>
      <c r="J306" s="787"/>
      <c r="K306" s="398"/>
      <c r="L306" s="3628" t="s">
        <v>321</v>
      </c>
      <c r="M306" s="3795"/>
      <c r="AH306" s="3432">
        <v>0</v>
      </c>
    </row>
    <row customHeight="1" ht="18.75" hidden="1">
      <c r="C307" s="3802" t="s">
        <v>1169</v>
      </c>
      <c r="D307" s="3814"/>
      <c r="E307" s="313"/>
      <c r="F307" s="3442"/>
      <c r="G307" s="3799"/>
      <c r="H307" s="791"/>
      <c r="I307" s="172" t="s">
        <v>1168</v>
      </c>
      <c r="J307" s="226"/>
      <c r="K307" s="791"/>
      <c r="L307" s="773"/>
      <c r="M307" s="3795"/>
      <c r="AH307" s="3432">
        <v>0</v>
      </c>
    </row>
    <row customHeight="1" ht="0.75" hidden="1">
      <c r="C308" s="3802" t="s">
        <v>1176</v>
      </c>
      <c r="D308" s="3814"/>
      <c r="E308" s="313"/>
      <c r="F308" s="3442"/>
      <c r="G308" s="806"/>
      <c r="H308" s="791"/>
      <c r="I308" s="172"/>
      <c r="J308" s="226"/>
      <c r="K308" s="791"/>
      <c r="L308" s="773"/>
      <c r="M308" s="3795"/>
      <c r="AH308" s="3432">
        <v>0</v>
      </c>
    </row>
    <row customHeight="1" ht="18.75" hidden="1">
      <c r="A309" s="286" t="s">
        <v>260</v>
      </c>
      <c r="B309" s="286" t="s">
        <v>261</v>
      </c>
      <c r="D309" s="3814"/>
      <c r="E309" s="313"/>
      <c r="F309" s="34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799" t="str">
        <f>INDEX(PT_DIFFERENTIATION_NTAR,MATCH(B309,PT_DIFFERENTIATION_NTAR_ID,0))</f>
        <v/>
      </c>
      <c r="H309" s="3628"/>
      <c r="I309" s="786"/>
      <c r="J309" s="787"/>
      <c r="K309" s="398"/>
      <c r="L309" s="3628" t="s">
        <v>321</v>
      </c>
      <c r="M309" s="3795"/>
      <c r="AH309" s="3432">
        <v>0</v>
      </c>
    </row>
    <row customHeight="1" ht="18.75" hidden="1">
      <c r="C310" s="3802" t="s">
        <v>1169</v>
      </c>
      <c r="D310" s="3814"/>
      <c r="E310" s="313"/>
      <c r="F310" s="3442"/>
      <c r="G310" s="3799"/>
      <c r="H310" s="791"/>
      <c r="I310" s="172" t="s">
        <v>1168</v>
      </c>
      <c r="J310" s="226"/>
      <c r="K310" s="791"/>
      <c r="L310" s="773"/>
      <c r="M310" s="3795"/>
      <c r="AH310" s="3432">
        <v>0</v>
      </c>
    </row>
    <row customHeight="1" ht="0.75" hidden="1">
      <c r="C311" s="3802" t="s">
        <v>1176</v>
      </c>
      <c r="D311" s="3814"/>
      <c r="E311" s="313"/>
      <c r="F311" s="3442"/>
      <c r="G311" s="806"/>
      <c r="H311" s="791"/>
      <c r="I311" s="172"/>
      <c r="J311" s="226"/>
      <c r="K311" s="791"/>
      <c r="L311" s="773"/>
      <c r="M311" s="3795"/>
      <c r="AH311" s="3432">
        <v>0</v>
      </c>
    </row>
    <row customHeight="1" ht="18.75" hidden="1">
      <c r="A312" s="286" t="s">
        <v>265</v>
      </c>
      <c r="B312" s="286" t="s">
        <v>266</v>
      </c>
      <c r="D312" s="3814"/>
      <c r="E312" s="313"/>
      <c r="F312" s="3442" t="str">
        <f>INDEX(PT_DIFFERENTIATION_VTAR,MATCH(A312,PT_DIFFERENTIATION_VTAR_ID,0))</f>
        <v>Тариф на горячую воду (горячее водоснабжение)</v>
      </c>
      <c r="G312" s="3799" t="str">
        <f>INDEX(PT_DIFFERENTIATION_NTAR,MATCH(B312,PT_DIFFERENTIATION_NTAR_ID,0))</f>
        <v/>
      </c>
      <c r="H312" s="3628"/>
      <c r="I312" s="786"/>
      <c r="J312" s="787"/>
      <c r="K312" s="398"/>
      <c r="L312" s="3628" t="s">
        <v>321</v>
      </c>
      <c r="M312" s="3795"/>
      <c r="AH312" s="3432">
        <v>0</v>
      </c>
    </row>
    <row customHeight="1" ht="18.75" hidden="1">
      <c r="C313" s="3802" t="s">
        <v>1169</v>
      </c>
      <c r="D313" s="3814"/>
      <c r="E313" s="313"/>
      <c r="F313" s="3442"/>
      <c r="G313" s="3799"/>
      <c r="H313" s="791"/>
      <c r="I313" s="172" t="s">
        <v>1168</v>
      </c>
      <c r="J313" s="226"/>
      <c r="K313" s="791"/>
      <c r="L313" s="773"/>
      <c r="M313" s="3795"/>
      <c r="AH313" s="3432">
        <v>0</v>
      </c>
    </row>
    <row customHeight="1" ht="0.75" hidden="1">
      <c r="C314" s="3802" t="s">
        <v>1176</v>
      </c>
      <c r="D314" s="3814"/>
      <c r="E314" s="313"/>
      <c r="F314" s="3442"/>
      <c r="G314" s="806"/>
      <c r="H314" s="791"/>
      <c r="I314" s="172"/>
      <c r="J314" s="226"/>
      <c r="K314" s="791"/>
      <c r="L314" s="773"/>
      <c r="M314" s="3795"/>
      <c r="AH314" s="3432">
        <v>0</v>
      </c>
    </row>
    <row customHeight="1" ht="18.75" hidden="1">
      <c r="A315" s="286" t="s">
        <v>270</v>
      </c>
      <c r="B315" s="286" t="s">
        <v>271</v>
      </c>
      <c r="D315" s="3814"/>
      <c r="E315" s="313"/>
      <c r="F315" s="3442" t="str">
        <f>INDEX(PT_DIFFERENTIATION_VTAR,MATCH(A315,PT_DIFFERENTIATION_VTAR_ID,0))</f>
        <v>Тариф на транспортировку горячей воды</v>
      </c>
      <c r="G315" s="3799" t="str">
        <f>INDEX(PT_DIFFERENTIATION_NTAR,MATCH(B315,PT_DIFFERENTIATION_NTAR_ID,0))</f>
        <v/>
      </c>
      <c r="H315" s="3628"/>
      <c r="I315" s="786"/>
      <c r="J315" s="787"/>
      <c r="K315" s="398"/>
      <c r="L315" s="3628" t="s">
        <v>321</v>
      </c>
      <c r="M315" s="3795"/>
      <c r="AH315" s="3432">
        <v>0</v>
      </c>
    </row>
    <row customHeight="1" ht="18.75" hidden="1">
      <c r="C316" s="3802" t="s">
        <v>1169</v>
      </c>
      <c r="D316" s="3814"/>
      <c r="E316" s="313"/>
      <c r="F316" s="3442"/>
      <c r="G316" s="3799"/>
      <c r="H316" s="791"/>
      <c r="I316" s="172" t="s">
        <v>1168</v>
      </c>
      <c r="J316" s="226"/>
      <c r="K316" s="791"/>
      <c r="L316" s="773"/>
      <c r="M316" s="3795"/>
      <c r="AH316" s="3432">
        <v>0</v>
      </c>
    </row>
    <row customHeight="1" ht="0.75" hidden="1">
      <c r="C317" s="3802" t="s">
        <v>1176</v>
      </c>
      <c r="D317" s="3814"/>
      <c r="E317" s="313"/>
      <c r="F317" s="3442"/>
      <c r="G317" s="806"/>
      <c r="H317" s="791"/>
      <c r="I317" s="172"/>
      <c r="J317" s="226"/>
      <c r="K317" s="791"/>
      <c r="L317" s="773"/>
      <c r="M317" s="3795"/>
      <c r="AH317" s="3432">
        <v>0</v>
      </c>
    </row>
    <row customHeight="1" ht="18.75" hidden="1">
      <c r="A318" s="286" t="s">
        <v>275</v>
      </c>
      <c r="B318" s="286" t="s">
        <v>276</v>
      </c>
      <c r="D318" s="3814"/>
      <c r="E318" s="313"/>
      <c r="F318" s="34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3799" t="str">
        <f>INDEX(PT_DIFFERENTIATION_NTAR,MATCH(B318,PT_DIFFERENTIATION_NTAR_ID,0))</f>
        <v/>
      </c>
      <c r="H318" s="3628"/>
      <c r="I318" s="786"/>
      <c r="J318" s="787"/>
      <c r="K318" s="398"/>
      <c r="L318" s="3628" t="s">
        <v>321</v>
      </c>
      <c r="M318" s="3795"/>
      <c r="AH318" s="3432">
        <v>0</v>
      </c>
    </row>
    <row customHeight="1" ht="18.75" hidden="1">
      <c r="C319" s="3802" t="s">
        <v>1169</v>
      </c>
      <c r="D319" s="3814"/>
      <c r="E319" s="313"/>
      <c r="F319" s="3442"/>
      <c r="G319" s="3799"/>
      <c r="H319" s="791"/>
      <c r="I319" s="172" t="s">
        <v>1168</v>
      </c>
      <c r="J319" s="226"/>
      <c r="K319" s="791"/>
      <c r="L319" s="773"/>
      <c r="M319" s="3795"/>
      <c r="AH319" s="3432">
        <v>0</v>
      </c>
    </row>
    <row customHeight="1" ht="0.75" hidden="1">
      <c r="C320" s="3802" t="s">
        <v>1176</v>
      </c>
      <c r="D320" s="3814"/>
      <c r="E320" s="313"/>
      <c r="F320" s="3442"/>
      <c r="G320" s="806"/>
      <c r="H320" s="791"/>
      <c r="I320" s="172"/>
      <c r="J320" s="226"/>
      <c r="K320" s="791"/>
      <c r="L320" s="773"/>
      <c r="M320" s="3795"/>
      <c r="AH320" s="3432">
        <v>0</v>
      </c>
    </row>
    <row customHeight="1" ht="18.75" hidden="1">
      <c r="A321" s="286" t="s">
        <v>280</v>
      </c>
      <c r="B321" s="286" t="s">
        <v>281</v>
      </c>
      <c r="D321" s="3814"/>
      <c r="E321" s="313"/>
      <c r="F321" s="3442" t="str">
        <f>INDEX(PT_DIFFERENTIATION_VTAR,MATCH(A321,PT_DIFFERENTIATION_VTAR_ID,0))</f>
        <v>Тариф на водоотведение</v>
      </c>
      <c r="G321" s="3799" t="str">
        <f>INDEX(PT_DIFFERENTIATION_NTAR,MATCH(B321,PT_DIFFERENTIATION_NTAR_ID,0))</f>
        <v/>
      </c>
      <c r="H321" s="3628"/>
      <c r="I321" s="786"/>
      <c r="J321" s="787"/>
      <c r="K321" s="398"/>
      <c r="L321" s="3628" t="s">
        <v>321</v>
      </c>
      <c r="M321" s="3795"/>
      <c r="AH321" s="3432">
        <v>0</v>
      </c>
    </row>
    <row customHeight="1" ht="18.75" hidden="1">
      <c r="C322" s="3802" t="s">
        <v>1169</v>
      </c>
      <c r="D322" s="3814"/>
      <c r="E322" s="313"/>
      <c r="F322" s="3442"/>
      <c r="G322" s="3799"/>
      <c r="H322" s="791"/>
      <c r="I322" s="172" t="s">
        <v>1168</v>
      </c>
      <c r="J322" s="226"/>
      <c r="K322" s="791"/>
      <c r="L322" s="773"/>
      <c r="M322" s="3795"/>
      <c r="AH322" s="3432">
        <v>0</v>
      </c>
    </row>
    <row customHeight="1" ht="0.75" hidden="1">
      <c r="C323" s="3802" t="s">
        <v>1176</v>
      </c>
      <c r="D323" s="3814"/>
      <c r="E323" s="313"/>
      <c r="F323" s="3442"/>
      <c r="G323" s="806"/>
      <c r="H323" s="791"/>
      <c r="I323" s="172"/>
      <c r="J323" s="226"/>
      <c r="K323" s="791"/>
      <c r="L323" s="773"/>
      <c r="M323" s="3795"/>
      <c r="AH323" s="3432">
        <v>0</v>
      </c>
    </row>
    <row customHeight="1" ht="18.75" hidden="1">
      <c r="A324" s="286" t="s">
        <v>285</v>
      </c>
      <c r="B324" s="286" t="s">
        <v>286</v>
      </c>
      <c r="D324" s="3814"/>
      <c r="E324" s="313"/>
      <c r="F324" s="3442" t="str">
        <f>INDEX(PT_DIFFERENTIATION_VTAR,MATCH(A324,PT_DIFFERENTIATION_VTAR_ID,0))</f>
        <v>Тариф на транспортировку сточных вод</v>
      </c>
      <c r="G324" s="3799" t="str">
        <f>INDEX(PT_DIFFERENTIATION_NTAR,MATCH(B324,PT_DIFFERENTIATION_NTAR_ID,0))</f>
        <v/>
      </c>
      <c r="H324" s="3628"/>
      <c r="I324" s="786"/>
      <c r="J324" s="787"/>
      <c r="K324" s="398"/>
      <c r="L324" s="3628" t="s">
        <v>321</v>
      </c>
      <c r="M324" s="3795"/>
      <c r="AH324" s="3432">
        <v>0</v>
      </c>
    </row>
    <row customHeight="1" ht="18.75" hidden="1">
      <c r="C325" s="3802" t="s">
        <v>1169</v>
      </c>
      <c r="D325" s="3814"/>
      <c r="E325" s="313"/>
      <c r="F325" s="3442"/>
      <c r="G325" s="3799"/>
      <c r="H325" s="791"/>
      <c r="I325" s="172" t="s">
        <v>1168</v>
      </c>
      <c r="J325" s="226"/>
      <c r="K325" s="791"/>
      <c r="L325" s="773"/>
      <c r="M325" s="3795"/>
      <c r="AH325" s="3432">
        <v>0</v>
      </c>
    </row>
    <row customHeight="1" ht="0.75" hidden="1">
      <c r="C326" s="3802" t="s">
        <v>1176</v>
      </c>
      <c r="D326" s="3814"/>
      <c r="E326" s="313"/>
      <c r="F326" s="3442"/>
      <c r="G326" s="806"/>
      <c r="H326" s="791"/>
      <c r="I326" s="172"/>
      <c r="J326" s="226"/>
      <c r="K326" s="791"/>
      <c r="L326" s="773"/>
      <c r="M326" s="3795"/>
      <c r="AH326" s="3432">
        <v>0</v>
      </c>
    </row>
    <row customHeight="1" ht="18.75" hidden="1">
      <c r="A327" s="286" t="s">
        <v>290</v>
      </c>
      <c r="B327" s="286" t="s">
        <v>291</v>
      </c>
      <c r="D327" s="3814"/>
      <c r="E327" s="313"/>
      <c r="F327" s="3442" t="str">
        <f>INDEX(PT_DIFFERENTIATION_VTAR,MATCH(A327,PT_DIFFERENTIATION_VTAR_ID,0))</f>
        <v>Тариф на подключение (технологическое присоединение) к централизованной системе водоотведения</v>
      </c>
      <c r="G327" s="3799" t="str">
        <f>INDEX(PT_DIFFERENTIATION_NTAR,MATCH(B327,PT_DIFFERENTIATION_NTAR_ID,0))</f>
        <v/>
      </c>
      <c r="H327" s="3628"/>
      <c r="I327" s="786"/>
      <c r="J327" s="787"/>
      <c r="K327" s="398"/>
      <c r="L327" s="3628" t="s">
        <v>321</v>
      </c>
      <c r="M327" s="3795"/>
      <c r="AH327" s="3432">
        <v>0</v>
      </c>
    </row>
    <row customHeight="1" ht="18.75" hidden="1">
      <c r="C328" s="3802" t="s">
        <v>1169</v>
      </c>
      <c r="D328" s="3814"/>
      <c r="E328" s="313"/>
      <c r="F328" s="3442"/>
      <c r="G328" s="3799"/>
      <c r="H328" s="791"/>
      <c r="I328" s="172" t="s">
        <v>1168</v>
      </c>
      <c r="J328" s="226"/>
      <c r="K328" s="791"/>
      <c r="L328" s="773"/>
      <c r="M328" s="3795"/>
      <c r="AH328" s="3432">
        <v>0</v>
      </c>
    </row>
    <row customHeight="1" ht="1.05">
      <c r="C329" s="3802" t="s">
        <v>1176</v>
      </c>
      <c r="D329" s="3814"/>
      <c r="E329" s="313"/>
      <c r="F329" s="3442"/>
      <c r="G329" s="806"/>
      <c r="H329" s="791"/>
      <c r="I329" s="172"/>
      <c r="J329" s="226"/>
      <c r="K329" s="791"/>
      <c r="L329" s="773"/>
      <c r="M329" s="3795"/>
      <c r="AH329" s="3432">
        <v>1</v>
      </c>
    </row>
    <row customHeight="1" ht="3">
      <c r="E330" s="813"/>
      <c r="F330" s="813"/>
      <c r="G330" s="813"/>
      <c r="H330" s="813"/>
      <c r="I330" s="813"/>
      <c r="J330" s="813"/>
      <c r="K330" s="813"/>
      <c r="L330" s="813"/>
      <c r="M330" s="813"/>
      <c r="AH330" s="286">
        <v>3</v>
      </c>
    </row>
    <row customHeight="1" ht="26.25">
      <c r="AH331" s="3432">
        <v>25</v>
      </c>
    </row>
    <row customHeight="1" ht="14.25" hidden="1">
      <c r="A332" s="814" t="s">
        <v>80</v>
      </c>
      <c r="B332" s="814">
        <v>0</v>
      </c>
      <c r="C332" s="3802">
        <v>0</v>
      </c>
      <c r="D332" s="3797">
        <v>3</v>
      </c>
      <c r="E332" s="3432">
        <v>6</v>
      </c>
      <c r="F332" s="3432">
        <v>46</v>
      </c>
      <c r="G332" s="3432">
        <v>35</v>
      </c>
      <c r="H332" s="3432">
        <v>3</v>
      </c>
      <c r="I332" s="3432">
        <v>11</v>
      </c>
      <c r="J332" s="3432">
        <v>11</v>
      </c>
      <c r="K332" s="3432">
        <v>35</v>
      </c>
      <c r="L332" s="3432">
        <v>35</v>
      </c>
      <c r="M332" s="3432">
        <v>84</v>
      </c>
      <c r="N332" s="3432">
        <v>10</v>
      </c>
      <c r="O332" s="3479">
        <v>10</v>
      </c>
      <c r="P332" s="3479">
        <v>10</v>
      </c>
      <c r="Q332" s="3432">
        <v>10</v>
      </c>
      <c r="R332" s="3432">
        <v>10</v>
      </c>
      <c r="S332" s="3432">
        <v>10</v>
      </c>
      <c r="T332" s="3432">
        <v>10</v>
      </c>
      <c r="U332" s="3432">
        <v>10</v>
      </c>
      <c r="V332" s="3432">
        <v>10</v>
      </c>
      <c r="W332" s="3432">
        <v>10</v>
      </c>
      <c r="X332" s="3432">
        <v>10</v>
      </c>
      <c r="Y332" s="3432">
        <v>10</v>
      </c>
      <c r="Z332" s="3432">
        <v>10</v>
      </c>
      <c r="AA332" s="3432">
        <v>10</v>
      </c>
      <c r="AB332" s="3432">
        <v>10</v>
      </c>
      <c r="AC332" s="3432">
        <v>10</v>
      </c>
      <c r="AD332" s="3432">
        <v>10</v>
      </c>
      <c r="AE332" s="3432">
        <v>10</v>
      </c>
      <c r="AF332" s="3432">
        <v>10</v>
      </c>
      <c r="AG332" s="3432">
        <v>10</v>
      </c>
      <c r="AH332" s="343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E4C2C-1CA5-672F-AAAD-6030C5FD10F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2" style="7348" width="9.140625" hidden="1" customWidth="1"/>
    <col min="3" max="3" style="7348" width="3.00390625" customWidth="1"/>
    <col min="4" max="4" style="7348" width="6.00390625" customWidth="1"/>
    <col min="5" max="5" style="7348" width="53.00390625" customWidth="1"/>
    <col min="6" max="7" style="7348" width="35.00390625" customWidth="1"/>
    <col min="8" max="8" style="7348" width="89.00390625" customWidth="1"/>
    <col min="9" max="17" style="7348" width="10.00390625" customWidth="1"/>
    <col min="18" max="18" style="7348" width="10.57421875" hidden="1"/>
  </cols>
  <sheetData>
    <row customHeight="1" ht="22.5" hidden="1">
      <c r="R1" s="3432" t="s">
        <v>14</v>
      </c>
    </row>
    <row customHeight="1" ht="18.75" hidden="1">
      <c r="C2" s="991" t="s">
        <v>119</v>
      </c>
      <c r="D2" s="313"/>
      <c r="E2" s="350"/>
      <c r="F2" s="3766"/>
      <c r="G2" s="431"/>
      <c r="R2" s="3432">
        <v>0</v>
      </c>
    </row>
    <row customHeight="1" ht="14.25" hidden="1">
      <c r="R3" s="3432">
        <v>0</v>
      </c>
    </row>
    <row customHeight="1" ht="6.3">
      <c r="C4" s="3719"/>
      <c r="D4" s="3450"/>
      <c r="E4" s="3450"/>
      <c r="F4" s="3450"/>
      <c r="G4" s="3789"/>
      <c r="H4" s="3789"/>
      <c r="R4" s="3432">
        <v>6</v>
      </c>
    </row>
    <row customHeight="1" ht="34.5">
      <c r="C5" s="3719"/>
      <c r="D5" s="35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3518"/>
      <c r="F5" s="3518"/>
      <c r="G5" s="3519"/>
      <c r="R5" s="3432">
        <v>33</v>
      </c>
    </row>
    <row customHeight="1" ht="18">
      <c r="C6" s="3719"/>
      <c r="D6" s="3622" t="str">
        <f>IF(org=0,"Не определено",org)</f>
        <v>ООО "ТеплоЭлектроГенерирующая Компания"</v>
      </c>
      <c r="E6" s="3623"/>
      <c r="F6" s="3623"/>
      <c r="G6" s="3624"/>
      <c r="R6" s="3432">
        <v>17</v>
      </c>
    </row>
    <row customHeight="1" ht="14.699999999999998">
      <c r="C7" s="3719"/>
      <c r="D7" s="3450"/>
      <c r="E7" s="3445"/>
      <c r="F7" s="3445"/>
      <c r="G7" s="3575"/>
      <c r="H7" s="3790"/>
      <c r="R7" s="3432">
        <v>14</v>
      </c>
    </row>
    <row customHeight="1" ht="14.699999999999998">
      <c r="C8" s="3719"/>
      <c r="D8" s="3579" t="s">
        <v>315</v>
      </c>
      <c r="E8" s="3579"/>
      <c r="F8" s="3579"/>
      <c r="G8" s="3579"/>
      <c r="H8" s="3707" t="s">
        <v>316</v>
      </c>
      <c r="R8" s="3432">
        <v>14</v>
      </c>
    </row>
    <row customHeight="1" ht="24">
      <c r="C9" s="3719"/>
      <c r="D9" s="3579" t="s">
        <v>86</v>
      </c>
      <c r="E9" s="3525" t="s">
        <v>317</v>
      </c>
      <c r="F9" s="3525" t="s">
        <v>318</v>
      </c>
      <c r="G9" s="3525" t="s">
        <v>405</v>
      </c>
      <c r="H9" s="3707"/>
      <c r="R9" s="3432">
        <v>23</v>
      </c>
    </row>
    <row customHeight="1" ht="14.699999999999998">
      <c r="C10" s="3719"/>
      <c r="D10" s="313" t="s">
        <v>107</v>
      </c>
      <c r="E10" s="392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66"/>
      <c r="G10" s="431"/>
      <c r="H10" s="3546" t="s">
        <v>1177</v>
      </c>
      <c r="R10" s="3432">
        <v>14</v>
      </c>
    </row>
    <row customHeight="1" ht="14.699999999999998">
      <c r="C11" s="3719"/>
      <c r="D11" s="313" t="s">
        <v>108</v>
      </c>
      <c r="E11" s="392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66"/>
      <c r="G11" s="431"/>
      <c r="H11" s="3548"/>
      <c r="R11" s="3432">
        <v>14</v>
      </c>
    </row>
    <row customHeight="1" ht="14.699999999999998">
      <c r="C12" s="3602"/>
      <c r="D12" s="313" t="s">
        <v>88</v>
      </c>
      <c r="E12" s="3765" t="str">
        <f>"Сведения о планировании закупочных процедур"&amp;IF(TEMPLATE_SPHERE="TKO"," &lt;1&gt;","")</f>
        <v>Сведения о планировании закупочных процедур</v>
      </c>
      <c r="F12" s="3766"/>
      <c r="G12" s="431"/>
      <c r="H12" s="35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3432">
        <v>14</v>
      </c>
    </row>
    <row customHeight="1" ht="14.699999999999998">
      <c r="C13" s="3602"/>
      <c r="D13" s="313" t="s">
        <v>89</v>
      </c>
      <c r="E13" s="3765" t="str">
        <f>"Сведения о результатах проведения закупочных процедур"&amp;IF(TEMPLATE_SPHERE="TKO"," &lt;1&gt;","")</f>
        <v>Сведения о результатах проведения закупочных процедур</v>
      </c>
      <c r="F13" s="3766"/>
      <c r="G13" s="431"/>
      <c r="H13" s="3548"/>
      <c r="R13" s="3432">
        <v>14</v>
      </c>
    </row>
    <row customHeight="1" ht="14.699999999999998">
      <c r="C14" s="3719"/>
      <c r="D14" s="3726"/>
      <c r="E14" s="172" t="s">
        <v>337</v>
      </c>
      <c r="F14" s="226"/>
      <c r="G14" s="773"/>
      <c r="H14" s="3550"/>
      <c r="R14" s="3432">
        <v>14</v>
      </c>
    </row>
    <row customHeight="1" ht="14.699999999999998">
      <c r="C15" s="3719"/>
      <c r="D15" s="3922"/>
      <c r="E15" s="998"/>
      <c r="F15" s="999"/>
      <c r="G15" s="1000"/>
      <c r="H15" s="3923"/>
      <c r="R15" s="3432">
        <v>14</v>
      </c>
    </row>
    <row customHeight="1" ht="14.699999999999998">
      <c r="R16" s="3432">
        <v>14</v>
      </c>
    </row>
    <row customHeight="1" ht="22.5" hidden="1">
      <c r="A17" s="782" t="s">
        <v>80</v>
      </c>
      <c r="B17" s="3449">
        <v>0</v>
      </c>
      <c r="C17" s="3797">
        <v>3</v>
      </c>
      <c r="D17" s="3432">
        <v>6</v>
      </c>
      <c r="E17" s="3432">
        <v>53</v>
      </c>
      <c r="F17" s="3432">
        <v>35</v>
      </c>
      <c r="G17" s="3432">
        <v>35</v>
      </c>
      <c r="H17" s="3432">
        <v>89</v>
      </c>
      <c r="I17" s="3432">
        <v>10</v>
      </c>
      <c r="J17" s="3479">
        <v>10</v>
      </c>
      <c r="K17" s="3479">
        <v>10</v>
      </c>
      <c r="L17" s="3432">
        <v>10</v>
      </c>
      <c r="M17" s="3432">
        <v>10</v>
      </c>
      <c r="N17" s="3432">
        <v>10</v>
      </c>
      <c r="O17" s="3432">
        <v>10</v>
      </c>
      <c r="P17" s="3432">
        <v>10</v>
      </c>
      <c r="Q17" s="3432">
        <v>10</v>
      </c>
      <c r="R17" s="343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B07CD-24AA-0348-60AC-413242C0214F}" mc:Ignorable="x14ac xr xr2 xr3">
  <sheetPr>
    <tabColor theme="2" tint="-0.1"/>
  </sheetPr>
  <dimension ref="A1:AL30"/>
  <sheetViews>
    <sheetView topLeftCell="A1" showGridLines="0" zoomScale="90" workbookViewId="0">
      <selection activeCell="Y8" sqref="Y8"/>
    </sheetView>
  </sheetViews>
  <sheetFormatPr defaultColWidth="10.57421875" customHeight="1" defaultRowHeight="15"/>
  <cols>
    <col min="1" max="2" style="7348" width="9.140625" hidden="1" customWidth="1"/>
    <col min="3" max="3" style="7348" width="4.00390625" customWidth="1"/>
    <col min="4" max="4" style="7348" width="6.00390625" customWidth="1"/>
    <col min="5" max="5" style="7348" width="47.00390625" customWidth="1"/>
    <col min="6" max="6" style="7348" width="9.00390625" customWidth="1"/>
    <col min="7" max="7" style="7348" width="25.7109375" hidden="1" customWidth="1"/>
    <col min="8" max="8" style="7348" width="34.00390625" hidden="1" customWidth="1"/>
    <col min="9" max="9" style="7348" width="25.7109375" customWidth="1"/>
    <col min="10" max="10" style="7348" width="33.00390625" customWidth="1"/>
    <col min="11" max="11" style="7348" width="25.7109375" customWidth="1"/>
    <col min="12" max="12" style="7348" width="34.00390625" customWidth="1"/>
    <col min="13" max="13" style="7348" width="25.7109375" customWidth="1"/>
    <col min="14" max="14" style="7348" width="34.00390625" customWidth="1"/>
    <col min="15" max="15" style="7348" width="25.7109375" customWidth="1"/>
    <col min="16" max="16" style="7348" width="34.00390625" customWidth="1"/>
    <col min="17" max="17" style="7348" width="25.7109375" customWidth="1"/>
    <col min="18" max="18" style="7348" width="34.00390625" customWidth="1"/>
    <col min="19" max="19" style="7348" width="25.7109375" customWidth="1"/>
    <col min="20" max="20" style="7348" width="34.00390625" customWidth="1"/>
    <col min="21" max="21" style="7348" width="25.7109375" customWidth="1"/>
    <col min="22" max="22" style="7348" width="34.00390625" customWidth="1"/>
    <col min="23" max="23" style="7348" width="25.7109375" customWidth="1"/>
    <col min="24" max="24" style="7348" width="34.00390625" customWidth="1"/>
    <col min="25" max="25" style="7348" width="25.7109375" customWidth="1"/>
    <col min="26" max="26" style="7348" width="34.00390625" customWidth="1"/>
    <col min="27" max="27" style="7348" width="50.00390625" customWidth="1"/>
    <col min="28" max="37" style="7348" width="10.00390625" customWidth="1"/>
    <col min="38" max="38" style="7348" width="10.57421875" hidden="1"/>
  </cols>
  <sheetData>
    <row customHeight="1" ht="22.5" hidden="1">
      <c r="G1" s="3449">
        <v>4</v>
      </c>
      <c r="I1" s="3449">
        <v>4</v>
      </c>
      <c r="K1" s="3449">
        <v>4</v>
      </c>
      <c r="M1" s="3449">
        <v>4</v>
      </c>
      <c r="O1" s="3449">
        <v>4</v>
      </c>
      <c r="Q1" s="3449">
        <v>4</v>
      </c>
      <c r="S1" s="3449">
        <v>4</v>
      </c>
      <c r="U1" s="3449">
        <v>4</v>
      </c>
      <c r="W1" s="3449">
        <v>4</v>
      </c>
      <c r="Y1" s="3449">
        <v>4</v>
      </c>
      <c r="AL1" s="3449" t="s">
        <v>14</v>
      </c>
    </row>
    <row customHeight="1" ht="15" hidden="1">
      <c r="AL2" s="3432">
        <v>0</v>
      </c>
    </row>
    <row customHeight="1" ht="15" hidden="1">
      <c r="AL3" s="3449">
        <v>0</v>
      </c>
    </row>
    <row customHeight="1" ht="15.75">
      <c r="AL4" s="3432">
        <v>15</v>
      </c>
    </row>
    <row customHeight="1" ht="66">
      <c r="D5" s="3646" t="s">
        <v>1178</v>
      </c>
      <c r="E5" s="3646"/>
      <c r="F5" s="3646"/>
      <c r="G5" s="3646"/>
      <c r="H5" s="3646"/>
      <c r="I5" s="3646"/>
      <c r="J5" s="3646"/>
      <c r="K5" s="3646"/>
      <c r="L5" s="3646"/>
      <c r="M5" s="3646"/>
      <c r="N5" s="3646"/>
      <c r="O5" s="3646"/>
      <c r="P5" s="3646"/>
      <c r="Q5" s="3646"/>
      <c r="R5" s="3646"/>
      <c r="S5" s="3646"/>
      <c r="T5" s="3646"/>
      <c r="U5" s="3646"/>
      <c r="V5" s="3646"/>
      <c r="W5" s="3646"/>
      <c r="X5" s="3646"/>
      <c r="Y5" s="3646"/>
      <c r="Z5" s="3646"/>
      <c r="AL5" s="3432">
        <v>63</v>
      </c>
    </row>
    <row customHeight="1" ht="15.75">
      <c r="D6" s="3554" t="str">
        <f>IF(org=0,"Не определено",org)</f>
        <v>ООО "ТеплоЭлектроГенерирующая Компания"</v>
      </c>
      <c r="E6" s="3554"/>
      <c r="F6" s="3554"/>
      <c r="G6" s="3554"/>
      <c r="H6" s="3554"/>
      <c r="I6" s="3554"/>
      <c r="J6" s="3554"/>
      <c r="K6" s="3554"/>
      <c r="L6" s="3554"/>
      <c r="M6" s="3554"/>
      <c r="N6" s="3554"/>
      <c r="O6" s="3554"/>
      <c r="P6" s="3554"/>
      <c r="Q6" s="3554"/>
      <c r="R6" s="3554"/>
      <c r="S6" s="3554"/>
      <c r="T6" s="3554"/>
      <c r="U6" s="3554"/>
      <c r="V6" s="3554"/>
      <c r="W6" s="3554"/>
      <c r="X6" s="3554"/>
      <c r="Y6" s="3554"/>
      <c r="Z6" s="3554"/>
      <c r="AL6" s="3432">
        <v>15</v>
      </c>
    </row>
    <row customHeight="1" ht="15.75">
      <c r="D7" s="3575"/>
      <c r="G7" s="3449">
        <v>22</v>
      </c>
      <c r="I7" s="3449">
        <v>1</v>
      </c>
      <c r="J7" s="3575"/>
      <c r="K7" s="3399" t="s">
        <v>22</v>
      </c>
      <c r="M7" s="3399" t="s">
        <v>22</v>
      </c>
      <c r="O7" s="3399" t="s">
        <v>22</v>
      </c>
      <c r="Q7" s="3399" t="s">
        <v>22</v>
      </c>
      <c r="S7" s="3399" t="s">
        <v>22</v>
      </c>
      <c r="U7" s="3399" t="s">
        <v>22</v>
      </c>
      <c r="W7" s="3399" t="s">
        <v>22</v>
      </c>
      <c r="Y7" s="3399" t="s">
        <v>22</v>
      </c>
      <c r="AL7" s="3432">
        <v>15</v>
      </c>
    </row>
    <row customHeight="1" ht="1.05">
      <c r="H8" s="3575"/>
      <c r="I8" s="3449" t="s">
        <v>116</v>
      </c>
      <c r="J8" s="3575"/>
      <c r="K8" s="3449" t="s">
        <v>121</v>
      </c>
      <c r="L8" s="3575"/>
      <c r="M8" s="3449" t="s">
        <v>123</v>
      </c>
      <c r="N8" s="3575"/>
      <c r="O8" s="3449" t="s">
        <v>125</v>
      </c>
      <c r="P8" s="3575"/>
      <c r="Q8" s="3449" t="s">
        <v>127</v>
      </c>
      <c r="R8" s="3575"/>
      <c r="S8" s="3449" t="s">
        <v>129</v>
      </c>
      <c r="T8" s="3575"/>
      <c r="U8" s="3449" t="s">
        <v>131</v>
      </c>
      <c r="V8" s="3575"/>
      <c r="W8" s="3449" t="s">
        <v>133</v>
      </c>
      <c r="X8" s="3575"/>
      <c r="Y8" s="3449" t="s">
        <v>136</v>
      </c>
      <c r="Z8" s="3575"/>
      <c r="AL8" s="3432">
        <v>1</v>
      </c>
    </row>
    <row customHeight="1" ht="15.75">
      <c r="D9" s="3924"/>
      <c r="E9" s="3925" t="s">
        <v>103</v>
      </c>
      <c r="F9" s="3926"/>
      <c r="G9" s="3927" t="str">
        <f>IF(G8="","",INDEX(DIFFERENTIATION_UNMERGE_VD,MATCH(G8,DIFFERENTIATION_ID_DIFF,0)))</f>
        <v/>
      </c>
      <c r="H9" s="3928"/>
      <c r="I9" s="3927" t="str">
        <f>IF(I8="","",INDEX(DIFFERENTIATION_UNMERGE_VD,MATCH(I8,DIFFERENTIATION_ID_DIFF,0)))</f>
        <v>Горячее водоснабжение</v>
      </c>
      <c r="J9" s="3928"/>
      <c r="K9" s="3927" t="str">
        <f>IF(K8="","",INDEX(DIFFERENTIATION_UNMERGE_VD,MATCH(K8,DIFFERENTIATION_ID_DIFF,0)))</f>
        <v>Горячее водоснабжение</v>
      </c>
      <c r="L9" s="3928"/>
      <c r="M9" s="3927" t="str">
        <f>IF(M8="","",INDEX(DIFFERENTIATION_UNMERGE_VD,MATCH(M8,DIFFERENTIATION_ID_DIFF,0)))</f>
        <v>Горячее водоснабжение</v>
      </c>
      <c r="N9" s="3928"/>
      <c r="O9" s="3927" t="str">
        <f>IF(O8="","",INDEX(DIFFERENTIATION_UNMERGE_VD,MATCH(O8,DIFFERENTIATION_ID_DIFF,0)))</f>
        <v>Горячее водоснабжение</v>
      </c>
      <c r="P9" s="3928"/>
      <c r="Q9" s="3927" t="str">
        <f>IF(Q8="","",INDEX(DIFFERENTIATION_UNMERGE_VD,MATCH(Q8,DIFFERENTIATION_ID_DIFF,0)))</f>
        <v>Горячее водоснабжение</v>
      </c>
      <c r="R9" s="3928"/>
      <c r="S9" s="3927" t="str">
        <f>IF(S8="","",INDEX(DIFFERENTIATION_UNMERGE_VD,MATCH(S8,DIFFERENTIATION_ID_DIFF,0)))</f>
        <v>Горячее водоснабжение</v>
      </c>
      <c r="T9" s="3928"/>
      <c r="U9" s="3927" t="str">
        <f>IF(U8="","",INDEX(DIFFERENTIATION_UNMERGE_VD,MATCH(U8,DIFFERENTIATION_ID_DIFF,0)))</f>
        <v>Горячее водоснабжение</v>
      </c>
      <c r="V9" s="3928"/>
      <c r="W9" s="3927" t="str">
        <f>IF(W8="","",INDEX(DIFFERENTIATION_UNMERGE_VD,MATCH(W8,DIFFERENTIATION_ID_DIFF,0)))</f>
        <v>Горячее водоснабжение</v>
      </c>
      <c r="X9" s="3928"/>
      <c r="Y9" s="3927" t="str">
        <f>IF(Y8="","",INDEX(DIFFERENTIATION_UNMERGE_VD,MATCH(Y8,DIFFERENTIATION_ID_DIFF,0)))</f>
        <v>Горячее водоснабжение</v>
      </c>
      <c r="Z9" s="3928"/>
      <c r="AA9" s="3558" t="s">
        <v>316</v>
      </c>
      <c r="AL9" s="3432">
        <v>15</v>
      </c>
    </row>
    <row customHeight="1" ht="15.75">
      <c r="D10" s="3924"/>
      <c r="E10" s="3925" t="s">
        <v>579</v>
      </c>
      <c r="F10" s="3926"/>
      <c r="G10" s="3927" t="str">
        <f>IF(G8="","",INDEX(DIFFERENTIATION_UNMERGE_AREA,MATCH(G8,DIFFERENTIATION_ID_DIFF,0)))</f>
        <v/>
      </c>
      <c r="H10" s="3928"/>
      <c r="I10" s="3927" t="str">
        <f>IF(I8="","",INDEX(DIFFERENTIATION_UNMERGE_AREA,MATCH(I8,DIFFERENTIATION_ID_DIFF,0)))</f>
        <v>Территория 1</v>
      </c>
      <c r="J10" s="3928"/>
      <c r="K10" s="3927" t="str">
        <f>IF(K8="","",INDEX(DIFFERENTIATION_UNMERGE_AREA,MATCH(K8,DIFFERENTIATION_ID_DIFF,0)))</f>
        <v>Территория 1</v>
      </c>
      <c r="L10" s="3928"/>
      <c r="M10" s="3927" t="str">
        <f>IF(M8="","",INDEX(DIFFERENTIATION_UNMERGE_AREA,MATCH(M8,DIFFERENTIATION_ID_DIFF,0)))</f>
        <v>Территория 1</v>
      </c>
      <c r="N10" s="3928"/>
      <c r="O10" s="3927" t="str">
        <f>IF(O8="","",INDEX(DIFFERENTIATION_UNMERGE_AREA,MATCH(O8,DIFFERENTIATION_ID_DIFF,0)))</f>
        <v>Территория 1</v>
      </c>
      <c r="P10" s="3928"/>
      <c r="Q10" s="3927" t="str">
        <f>IF(Q8="","",INDEX(DIFFERENTIATION_UNMERGE_AREA,MATCH(Q8,DIFFERENTIATION_ID_DIFF,0)))</f>
        <v>Территория 1</v>
      </c>
      <c r="R10" s="3928"/>
      <c r="S10" s="3927" t="str">
        <f>IF(S8="","",INDEX(DIFFERENTIATION_UNMERGE_AREA,MATCH(S8,DIFFERENTIATION_ID_DIFF,0)))</f>
        <v>Территория 1</v>
      </c>
      <c r="T10" s="3928"/>
      <c r="U10" s="3927" t="str">
        <f>IF(U8="","",INDEX(DIFFERENTIATION_UNMERGE_AREA,MATCH(U8,DIFFERENTIATION_ID_DIFF,0)))</f>
        <v>Территория 1</v>
      </c>
      <c r="V10" s="3928"/>
      <c r="W10" s="3927" t="str">
        <f>IF(W8="","",INDEX(DIFFERENTIATION_UNMERGE_AREA,MATCH(W8,DIFFERENTIATION_ID_DIFF,0)))</f>
        <v>Территория 1</v>
      </c>
      <c r="X10" s="3928"/>
      <c r="Y10" s="3927" t="str">
        <f>IF(Y8="","",INDEX(DIFFERENTIATION_UNMERGE_AREA,MATCH(Y8,DIFFERENTIATION_ID_DIFF,0)))</f>
        <v>Территория 1</v>
      </c>
      <c r="Z10" s="3928"/>
      <c r="AA10" s="3557"/>
      <c r="AL10" s="3432">
        <v>15</v>
      </c>
    </row>
    <row customHeight="1" ht="15.75">
      <c r="D11" s="3924"/>
      <c r="E11" s="3925" t="s">
        <v>580</v>
      </c>
      <c r="F11" s="3926"/>
      <c r="G11" s="3927" t="str">
        <f>IF(G8="","",INDEX(DIFFERENTIATION_UNMERGE_SYSTEM,MATCH(G8,DIFFERENTIATION_ID_DIFF,0)))</f>
        <v/>
      </c>
      <c r="H11" s="3928"/>
      <c r="I11" s="3927" t="str">
        <f>IF(I8="","",INDEX(DIFFERENTIATION_UNMERGE_SYSTEM,MATCH(I8,DIFFERENTIATION_ID_DIFF,0)))</f>
        <v>г. Саратов, ул.Деловая, 22, п. Юбилейный
</v>
      </c>
      <c r="J11" s="3928"/>
      <c r="K11" s="3927" t="str">
        <f>IF(K8="","",INDEX(DIFFERENTIATION_UNMERGE_SYSTEM,MATCH(K8,DIFFERENTIATION_ID_DIFF,0)))</f>
        <v>г. Саратов, ул. Вавилова,8/26 А
</v>
      </c>
      <c r="L11" s="3928"/>
      <c r="M11" s="3927" t="str">
        <f>IF(M8="","",INDEX(DIFFERENTIATION_UNMERGE_SYSTEM,MATCH(M8,DIFFERENTIATION_ID_DIFF,0)))</f>
        <v>г. Саратов, пр. 50 лет Октября, 60, 74, 108, ЦТП Волочаевский пр., 5, ЦТП Соколовая, 145/153
</v>
      </c>
      <c r="N11" s="3928"/>
      <c r="O11" s="3927" t="str">
        <f>IF(O8="","",INDEX(DIFFERENTIATION_UNMERGE_SYSTEM,MATCH(O8,DIFFERENTIATION_ID_DIFF,0)))</f>
        <v>г. Саратов, ул. Шелковичная, 186, ул. Шелковичная, 178, ул. Шелковичная, 155/161, ул. 2-я Садовая, 106 б.
</v>
      </c>
      <c r="P11" s="3928"/>
      <c r="Q11" s="3927" t="str">
        <f>IF(Q8="","",INDEX(DIFFERENTIATION_UNMERGE_SYSTEM,MATCH(Q8,DIFFERENTIATION_ID_DIFF,0)))</f>
        <v>г. Саратов, ул. Ломоносова, 1
</v>
      </c>
      <c r="R11" s="3928"/>
      <c r="S11" s="3927" t="str">
        <f>IF(S8="","",INDEX(DIFFERENTIATION_UNMERGE_SYSTEM,MATCH(S8,DIFFERENTIATION_ID_DIFF,0)))</f>
        <v>Система горячего водоснабжения (ул. Б.Садовая, 151/8 (ЦТП-4 Рабочий пр., 2 а, ЦТП Белоглинская, 158/164, ЦТП Свинцовая, 5/15, ЦТП Шелковичная, 128), Московское шоссе, 15), 2-й Соколовогорский пр., 3, ул.Огородная, 33, ул. Пензенская, 1, ул. Гвардейская, 2а (ЦТП Гвардейская, 4, ЦТП Гвардейская, 9,), 2-й Детский пр., 29/14, Ново-Астраханское ш., 37, ул.Б.Садовая, 85, мкр-н Цветочный.
</v>
      </c>
      <c r="T11" s="3928"/>
      <c r="U11" s="3927" t="str">
        <f>IF(U8="","",INDEX(DIFFERENTIATION_UNMERGE_SYSTEM,MATCH(U8,DIFFERENTIATION_ID_DIFF,0)))</f>
        <v>г. Саратов, ул. Огородная, 77
</v>
      </c>
      <c r="V11" s="3928"/>
      <c r="W11" s="3927" t="str">
        <f>IF(W8="","",INDEX(DIFFERENTIATION_UNMERGE_SYSTEM,MATCH(W8,DIFFERENTIATION_ID_DIFF,0)))</f>
        <v>г. Саратов, ул. Танкистов, 89
</v>
      </c>
      <c r="X11" s="3928"/>
      <c r="Y11" s="3927" t="str">
        <f>IF(Y8="","",INDEX(DIFFERENTIATION_UNMERGE_SYSTEM,MATCH(Y8,DIFFERENTIATION_ID_DIFF,0)))</f>
        <v>г. Саратов, ул. Политехническая, 47
</v>
      </c>
      <c r="Z11" s="3928"/>
      <c r="AA11" s="3557"/>
      <c r="AL11" s="3432">
        <v>15</v>
      </c>
    </row>
    <row customHeight="1" ht="15.75">
      <c r="D12" s="3929" t="s">
        <v>315</v>
      </c>
      <c r="E12" s="3930"/>
      <c r="F12" s="3930"/>
      <c r="G12" s="3925"/>
      <c r="H12" s="3925"/>
      <c r="I12" s="3925"/>
      <c r="J12" s="3925"/>
      <c r="K12" s="3925"/>
      <c r="L12" s="3925"/>
      <c r="M12" s="3925"/>
      <c r="N12" s="3925"/>
      <c r="O12" s="3925"/>
      <c r="P12" s="3925"/>
      <c r="Q12" s="3925"/>
      <c r="R12" s="3925"/>
      <c r="S12" s="3925"/>
      <c r="T12" s="3925"/>
      <c r="U12" s="3925"/>
      <c r="V12" s="3925"/>
      <c r="W12" s="3925"/>
      <c r="X12" s="3925"/>
      <c r="Y12" s="3925"/>
      <c r="Z12" s="3925"/>
      <c r="AA12" s="3557"/>
      <c r="AL12" s="3432">
        <v>15</v>
      </c>
    </row>
    <row customHeight="1" ht="35.699999999999996">
      <c r="D13" s="3480" t="s">
        <v>86</v>
      </c>
      <c r="E13" s="3480" t="s">
        <v>317</v>
      </c>
      <c r="F13" s="3480" t="s">
        <v>581</v>
      </c>
      <c r="G13" s="3437" t="s">
        <v>318</v>
      </c>
      <c r="H13" s="3480" t="s">
        <v>405</v>
      </c>
      <c r="I13" s="3437" t="s">
        <v>318</v>
      </c>
      <c r="J13" s="3480" t="s">
        <v>405</v>
      </c>
      <c r="K13" s="3437" t="s">
        <v>318</v>
      </c>
      <c r="L13" s="3480" t="s">
        <v>405</v>
      </c>
      <c r="M13" s="3437" t="s">
        <v>318</v>
      </c>
      <c r="N13" s="3480" t="s">
        <v>405</v>
      </c>
      <c r="O13" s="3437" t="s">
        <v>318</v>
      </c>
      <c r="P13" s="3480" t="s">
        <v>405</v>
      </c>
      <c r="Q13" s="3437" t="s">
        <v>318</v>
      </c>
      <c r="R13" s="3480" t="s">
        <v>405</v>
      </c>
      <c r="S13" s="3437" t="s">
        <v>318</v>
      </c>
      <c r="T13" s="3480" t="s">
        <v>405</v>
      </c>
      <c r="U13" s="3437" t="s">
        <v>318</v>
      </c>
      <c r="V13" s="3480" t="s">
        <v>405</v>
      </c>
      <c r="W13" s="3437" t="s">
        <v>318</v>
      </c>
      <c r="X13" s="3480" t="s">
        <v>405</v>
      </c>
      <c r="Y13" s="3437" t="s">
        <v>318</v>
      </c>
      <c r="Z13" s="3480" t="s">
        <v>405</v>
      </c>
      <c r="AA13" s="3483"/>
      <c r="AL13" s="3432">
        <v>34</v>
      </c>
    </row>
    <row customHeight="1" ht="15" hidden="1">
      <c r="D14" s="1009" t="s">
        <v>107</v>
      </c>
      <c r="E14" s="1009" t="s">
        <v>108</v>
      </c>
      <c r="F14" s="1009" t="s">
        <v>88</v>
      </c>
      <c r="G14" s="3693" t="str">
        <f>G1&amp;".1"</f>
        <v>4.1</v>
      </c>
      <c r="I14" s="3693" t="str">
        <f>I1&amp;".1"</f>
        <v>4.1</v>
      </c>
      <c r="K14" s="3693" t="str">
        <f>K1&amp;".1"</f>
        <v>4.1</v>
      </c>
      <c r="M14" s="3693" t="str">
        <f>M1&amp;".1"</f>
        <v>4.1</v>
      </c>
      <c r="O14" s="3693" t="str">
        <f>O1&amp;".1"</f>
        <v>4.1</v>
      </c>
      <c r="Q14" s="3693" t="str">
        <f>Q1&amp;".1"</f>
        <v>4.1</v>
      </c>
      <c r="S14" s="3693" t="str">
        <f>S1&amp;".1"</f>
        <v>4.1</v>
      </c>
      <c r="U14" s="3693" t="str">
        <f>U1&amp;".1"</f>
        <v>4.1</v>
      </c>
      <c r="W14" s="3693" t="str">
        <f>W1&amp;".1"</f>
        <v>4.1</v>
      </c>
      <c r="Y14" s="3693" t="str">
        <f>Y1&amp;".1"</f>
        <v>4.1</v>
      </c>
      <c r="AA14" s="3764"/>
      <c r="AL14" s="3432">
        <v>0</v>
      </c>
    </row>
    <row customHeight="1" ht="22.5" hidden="1">
      <c r="D15" s="3480">
        <v>1</v>
      </c>
      <c r="E15" s="3563" t="s">
        <v>831</v>
      </c>
      <c r="F15" s="3480" t="s">
        <v>832</v>
      </c>
      <c r="G15" s="1010"/>
      <c r="H15" s="1010"/>
      <c r="I15" s="1010"/>
      <c r="J15" s="1010"/>
      <c r="K15" s="1010"/>
      <c r="L15" s="1010"/>
      <c r="M15" s="1010"/>
      <c r="N15" s="1010"/>
      <c r="O15" s="1010"/>
      <c r="P15" s="1010"/>
      <c r="Q15" s="1010"/>
      <c r="R15" s="1010"/>
      <c r="S15" s="1010"/>
      <c r="T15" s="1010"/>
      <c r="U15" s="1010"/>
      <c r="V15" s="1010"/>
      <c r="W15" s="1010"/>
      <c r="X15" s="1010"/>
      <c r="Y15" s="1010"/>
      <c r="Z15" s="1010"/>
      <c r="AA15" s="3764" t="s">
        <v>833</v>
      </c>
      <c r="AL15" s="3432">
        <v>0</v>
      </c>
    </row>
    <row customHeight="1" ht="22.5" hidden="1">
      <c r="D16" s="3480">
        <v>2</v>
      </c>
      <c r="E16" s="3563" t="s">
        <v>834</v>
      </c>
      <c r="F16" s="3480" t="s">
        <v>835</v>
      </c>
      <c r="G16" s="1010"/>
      <c r="H16" s="1010"/>
      <c r="I16" s="1010"/>
      <c r="J16" s="1010"/>
      <c r="K16" s="1010"/>
      <c r="L16" s="1010"/>
      <c r="M16" s="1010"/>
      <c r="N16" s="1010"/>
      <c r="O16" s="1010"/>
      <c r="P16" s="1010"/>
      <c r="Q16" s="1010"/>
      <c r="R16" s="1010"/>
      <c r="S16" s="1010"/>
      <c r="T16" s="1010"/>
      <c r="U16" s="1010"/>
      <c r="V16" s="1010"/>
      <c r="W16" s="1010"/>
      <c r="X16" s="1010"/>
      <c r="Y16" s="1010"/>
      <c r="Z16" s="1010"/>
      <c r="AA16" s="3764" t="s">
        <v>836</v>
      </c>
      <c r="AL16" s="3432">
        <v>0</v>
      </c>
    </row>
    <row customHeight="1" ht="123.75" hidden="1">
      <c r="D17" s="3480">
        <v>3</v>
      </c>
      <c r="E17" s="3563" t="s">
        <v>1179</v>
      </c>
      <c r="F17" s="3480" t="s">
        <v>321</v>
      </c>
      <c r="G17" s="1010"/>
      <c r="H17" s="1010"/>
      <c r="I17" s="1010"/>
      <c r="J17" s="1010"/>
      <c r="K17" s="1010"/>
      <c r="L17" s="1010"/>
      <c r="M17" s="1010"/>
      <c r="N17" s="1010"/>
      <c r="O17" s="1010"/>
      <c r="P17" s="1010"/>
      <c r="Q17" s="1010"/>
      <c r="R17" s="1010"/>
      <c r="S17" s="1010"/>
      <c r="T17" s="1010"/>
      <c r="U17" s="1010"/>
      <c r="V17" s="1010"/>
      <c r="W17" s="1010"/>
      <c r="X17" s="1010"/>
      <c r="Y17" s="1010"/>
      <c r="Z17" s="1010"/>
      <c r="AA17" s="3764" t="s">
        <v>1180</v>
      </c>
      <c r="AL17" s="3432">
        <v>0</v>
      </c>
    </row>
    <row customHeight="1" ht="48.29999999999999">
      <c r="D18" s="3480">
        <v>3</v>
      </c>
      <c r="E18" s="3563" t="s">
        <v>837</v>
      </c>
      <c r="F18" s="3480" t="s">
        <v>321</v>
      </c>
      <c r="G18" s="3480" t="s">
        <v>321</v>
      </c>
      <c r="H18" s="3558" t="s">
        <v>321</v>
      </c>
      <c r="I18" s="3480" t="s">
        <v>321</v>
      </c>
      <c r="J18" s="3558" t="s">
        <v>321</v>
      </c>
      <c r="K18" s="3480" t="s">
        <v>321</v>
      </c>
      <c r="L18" s="3558" t="s">
        <v>321</v>
      </c>
      <c r="M18" s="3480" t="s">
        <v>321</v>
      </c>
      <c r="N18" s="3558" t="s">
        <v>321</v>
      </c>
      <c r="O18" s="3480" t="s">
        <v>321</v>
      </c>
      <c r="P18" s="3558" t="s">
        <v>321</v>
      </c>
      <c r="Q18" s="3480" t="s">
        <v>321</v>
      </c>
      <c r="R18" s="3558" t="s">
        <v>321</v>
      </c>
      <c r="S18" s="3480" t="s">
        <v>321</v>
      </c>
      <c r="T18" s="3558" t="s">
        <v>321</v>
      </c>
      <c r="U18" s="3480" t="s">
        <v>321</v>
      </c>
      <c r="V18" s="3558" t="s">
        <v>321</v>
      </c>
      <c r="W18" s="3480" t="s">
        <v>321</v>
      </c>
      <c r="X18" s="3558" t="s">
        <v>321</v>
      </c>
      <c r="Y18" s="3480" t="s">
        <v>321</v>
      </c>
      <c r="Z18" s="3558" t="s">
        <v>321</v>
      </c>
      <c r="AA18" s="3764" t="s">
        <v>1181</v>
      </c>
      <c r="AL18" s="3432">
        <v>46</v>
      </c>
    </row>
    <row customHeight="1" ht="35.699999999999996">
      <c r="D19" s="204" t="s">
        <v>339</v>
      </c>
      <c r="E19" s="3912" t="s">
        <v>839</v>
      </c>
      <c r="F19" s="3480" t="s">
        <v>840</v>
      </c>
      <c r="G19" s="1011"/>
      <c r="H19" s="355"/>
      <c r="I19" s="1011"/>
      <c r="J19" s="812"/>
      <c r="K19" s="1011"/>
      <c r="L19" s="355"/>
      <c r="M19" s="1011"/>
      <c r="N19" s="355"/>
      <c r="O19" s="1011"/>
      <c r="P19" s="355"/>
      <c r="Q19" s="1011"/>
      <c r="R19" s="355"/>
      <c r="S19" s="1011"/>
      <c r="T19" s="355"/>
      <c r="U19" s="1011"/>
      <c r="V19" s="355"/>
      <c r="W19" s="1011"/>
      <c r="X19" s="355"/>
      <c r="Y19" s="1011"/>
      <c r="Z19" s="355"/>
      <c r="AA19" s="3931"/>
      <c r="AL19" s="3432">
        <v>34</v>
      </c>
    </row>
    <row customHeight="1" ht="35.699999999999996">
      <c r="D20" s="204" t="s">
        <v>347</v>
      </c>
      <c r="E20" s="3912" t="s">
        <v>841</v>
      </c>
      <c r="F20" s="3480" t="s">
        <v>842</v>
      </c>
      <c r="G20" s="1011"/>
      <c r="H20" s="355"/>
      <c r="I20" s="1011"/>
      <c r="J20" s="355"/>
      <c r="K20" s="1011"/>
      <c r="L20" s="355"/>
      <c r="M20" s="1011"/>
      <c r="N20" s="355"/>
      <c r="O20" s="1011"/>
      <c r="P20" s="355"/>
      <c r="Q20" s="1011"/>
      <c r="R20" s="355"/>
      <c r="S20" s="1011"/>
      <c r="T20" s="355"/>
      <c r="U20" s="1011"/>
      <c r="V20" s="355"/>
      <c r="W20" s="1011"/>
      <c r="X20" s="355"/>
      <c r="Y20" s="1011"/>
      <c r="Z20" s="355"/>
      <c r="AA20" s="3931"/>
      <c r="AL20" s="3432">
        <v>34</v>
      </c>
    </row>
    <row customHeight="1" ht="48.29999999999999">
      <c r="D21" s="204" t="s">
        <v>349</v>
      </c>
      <c r="E21" s="3912" t="s">
        <v>843</v>
      </c>
      <c r="F21" s="3480" t="s">
        <v>586</v>
      </c>
      <c r="G21" s="1013"/>
      <c r="H21" s="355"/>
      <c r="I21" s="1013"/>
      <c r="J21" s="355"/>
      <c r="K21" s="1013"/>
      <c r="L21" s="355"/>
      <c r="M21" s="1013"/>
      <c r="N21" s="355"/>
      <c r="O21" s="1013"/>
      <c r="P21" s="355"/>
      <c r="Q21" s="1013"/>
      <c r="R21" s="355"/>
      <c r="S21" s="1013"/>
      <c r="T21" s="355"/>
      <c r="U21" s="1013"/>
      <c r="V21" s="355"/>
      <c r="W21" s="1013"/>
      <c r="X21" s="355"/>
      <c r="Y21" s="1013"/>
      <c r="Z21" s="355"/>
      <c r="AA21" s="3931"/>
      <c r="AL21" s="3432">
        <v>46</v>
      </c>
    </row>
    <row customHeight="1" ht="67.5" hidden="1">
      <c r="D22" s="3480">
        <v>5</v>
      </c>
      <c r="E22" s="3563" t="s">
        <v>1182</v>
      </c>
      <c r="F22" s="3480" t="s">
        <v>573</v>
      </c>
      <c r="G22" s="1014"/>
      <c r="H22" s="1015"/>
      <c r="I22" s="1014"/>
      <c r="J22" s="1015"/>
      <c r="K22" s="1014"/>
      <c r="L22" s="1015"/>
      <c r="M22" s="1014"/>
      <c r="N22" s="1015"/>
      <c r="O22" s="1014"/>
      <c r="P22" s="1015"/>
      <c r="Q22" s="1014"/>
      <c r="R22" s="1015"/>
      <c r="S22" s="1014"/>
      <c r="T22" s="1015"/>
      <c r="U22" s="1014"/>
      <c r="V22" s="1015"/>
      <c r="W22" s="1014"/>
      <c r="X22" s="1015"/>
      <c r="Y22" s="1014"/>
      <c r="Z22" s="1015"/>
      <c r="AA22" s="3764" t="s">
        <v>1183</v>
      </c>
      <c r="AL22" s="3432">
        <v>0</v>
      </c>
    </row>
    <row customHeight="1" ht="33.75" hidden="1">
      <c r="D23" s="3480">
        <v>6</v>
      </c>
      <c r="E23" s="3563" t="s">
        <v>1184</v>
      </c>
      <c r="F23" s="3480" t="s">
        <v>1185</v>
      </c>
      <c r="G23" s="1014"/>
      <c r="H23" s="1014"/>
      <c r="I23" s="1014"/>
      <c r="J23" s="1014"/>
      <c r="K23" s="1014"/>
      <c r="L23" s="1014"/>
      <c r="M23" s="1014"/>
      <c r="N23" s="1014"/>
      <c r="O23" s="1014"/>
      <c r="P23" s="1014"/>
      <c r="Q23" s="1014"/>
      <c r="R23" s="1014"/>
      <c r="S23" s="1014"/>
      <c r="T23" s="1014"/>
      <c r="U23" s="1014"/>
      <c r="V23" s="1014"/>
      <c r="W23" s="1014"/>
      <c r="X23" s="1014"/>
      <c r="Y23" s="1014"/>
      <c r="Z23" s="1014"/>
      <c r="AA23" s="3764" t="s">
        <v>1186</v>
      </c>
      <c r="AL23" s="3432">
        <v>0</v>
      </c>
    </row>
    <row customHeight="1" ht="15.75">
      <c r="AL24" s="3432">
        <v>15</v>
      </c>
    </row>
    <row customHeight="1" ht="15.75">
      <c r="AL25" s="3432">
        <v>15</v>
      </c>
    </row>
    <row customHeight="1" ht="15.75">
      <c r="AL26" s="3432">
        <v>15</v>
      </c>
    </row>
    <row customHeight="1" ht="15.75">
      <c r="AL27" s="3432">
        <v>15</v>
      </c>
    </row>
    <row customHeight="1" ht="15.75">
      <c r="AL28" s="3432">
        <v>15</v>
      </c>
    </row>
    <row customHeight="1" ht="15.75">
      <c r="AL29" s="3432">
        <v>15</v>
      </c>
    </row>
    <row customHeight="1" ht="22.5" hidden="1">
      <c r="A30" s="3430" t="s">
        <v>80</v>
      </c>
      <c r="B30" s="3432">
        <v>0</v>
      </c>
      <c r="C30" s="3693">
        <v>4</v>
      </c>
      <c r="D30" s="3432">
        <v>6</v>
      </c>
      <c r="E30" s="3432">
        <v>47</v>
      </c>
      <c r="F30" s="3432">
        <v>9</v>
      </c>
      <c r="G30" s="3432">
        <v>0</v>
      </c>
      <c r="H30" s="3432">
        <v>0</v>
      </c>
      <c r="I30" s="3432">
        <v>25</v>
      </c>
      <c r="J30" s="3432">
        <v>33</v>
      </c>
      <c r="K30" s="3432">
        <v>0</v>
      </c>
      <c r="L30" s="3432">
        <v>0</v>
      </c>
      <c r="M30" s="3432">
        <v>0</v>
      </c>
      <c r="N30" s="3432">
        <v>0</v>
      </c>
      <c r="O30" s="3432">
        <v>0</v>
      </c>
      <c r="P30" s="3432">
        <v>0</v>
      </c>
      <c r="Q30" s="3432">
        <v>0</v>
      </c>
      <c r="R30" s="3432">
        <v>0</v>
      </c>
      <c r="S30" s="3432">
        <v>0</v>
      </c>
      <c r="T30" s="3432">
        <v>0</v>
      </c>
      <c r="U30" s="3432">
        <v>0</v>
      </c>
      <c r="V30" s="3432">
        <v>0</v>
      </c>
      <c r="W30" s="3432">
        <v>0</v>
      </c>
      <c r="X30" s="3432">
        <v>0</v>
      </c>
      <c r="Y30" s="3432">
        <v>0</v>
      </c>
      <c r="Z30" s="3432">
        <v>0</v>
      </c>
      <c r="AA30" s="3449">
        <v>50</v>
      </c>
      <c r="AB30" s="3432">
        <v>10</v>
      </c>
      <c r="AC30" s="3432">
        <v>10</v>
      </c>
      <c r="AD30" s="3432">
        <v>10</v>
      </c>
      <c r="AE30" s="3432">
        <v>10</v>
      </c>
      <c r="AF30" s="3432">
        <v>10</v>
      </c>
      <c r="AG30" s="3432">
        <v>10</v>
      </c>
      <c r="AH30" s="3432">
        <v>10</v>
      </c>
      <c r="AI30" s="3432">
        <v>10</v>
      </c>
      <c r="AJ30" s="3432">
        <v>10</v>
      </c>
      <c r="AK30" s="3932">
        <v>10</v>
      </c>
      <c r="AL30" s="3432">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700881-763B-9719-7125-D8CD02229DE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48" width="32.57421875" customWidth="1"/>
    <col min="2" max="2" style="7348" width="11.00390625" customWidth="1"/>
    <col min="4" max="4" style="7348" width="26.57421875" customWidth="1"/>
    <col min="5" max="5" style="7348" width="36.8515625" customWidth="1"/>
    <col min="6" max="6" style="7348" width="23.57421875" customWidth="1"/>
    <col min="7" max="7" style="7348" width="31.421875" customWidth="1"/>
    <col min="8" max="8" style="7348" width="40.8515625" customWidth="1"/>
    <col min="9" max="9" style="7348" width="14.57421875" customWidth="1"/>
    <col min="10" max="10" style="7348" width="26.8515625" customWidth="1"/>
    <col min="11" max="11" style="7348" width="50.00390625" customWidth="1"/>
    <col min="12" max="12" style="7348" width="52.421875" customWidth="1"/>
    <col min="13" max="13" style="7348" width="10.7109375" customWidth="1"/>
    <col min="14" max="14" style="7348" width="55.140625" customWidth="1"/>
    <col min="15" max="15" style="7348" width="31.8515625" customWidth="1"/>
    <col min="16" max="16" style="7348" width="23.8515625" customWidth="1"/>
    <col min="17" max="17" style="7348" width="46.57421875" customWidth="1"/>
    <col min="18" max="18" style="7348" width="24.00390625" customWidth="1"/>
    <col min="19" max="19" style="7348" width="20.57421875" customWidth="1"/>
    <col min="20" max="20" style="7348" width="22.00390625" customWidth="1"/>
    <col min="21" max="22" style="7348" width="26.421875" customWidth="1"/>
    <col min="23" max="23" style="7348" width="8.28125" hidden="1" customWidth="1"/>
    <col min="24" max="24" style="7348" width="59.7109375" customWidth="1"/>
    <col min="25" max="25" style="7348" width="49.140625" customWidth="1"/>
    <col min="26" max="26" style="7348" width="11.140625" customWidth="1"/>
    <col min="27" max="30" style="7348" width="29.00390625" customWidth="1"/>
    <col min="32" max="32" style="7348" width="34.7109375" customWidth="1"/>
    <col min="34" max="35" style="7348" width="34.421875" customWidth="1"/>
    <col min="37" max="37" style="7348" width="24.57421875" customWidth="1"/>
    <col min="39" max="39" style="7348" width="26.140625" customWidth="1"/>
    <col min="40" max="40" style="7348" width="1.7109375" customWidth="1"/>
    <col min="42" max="43" style="7348" width="47.8515625" customWidth="1"/>
    <col min="44" max="44" style="7348" width="1.7109375" customWidth="1"/>
    <col min="45" max="45" style="7348" width="21.421875" customWidth="1"/>
    <col min="46" max="46" style="7348" width="1.7109375" customWidth="1"/>
    <col min="47" max="47" style="7348" width="31.28125" customWidth="1"/>
    <col min="48" max="48" style="7348" width="1.7109375" customWidth="1"/>
    <col min="51" max="51" style="7348" width="3.7109375" customWidth="1"/>
    <col min="52" max="52" style="7348" width="60.8515625" customWidth="1"/>
    <col min="53" max="53" style="7348" width="49.28125" customWidth="1"/>
    <col min="54" max="54" style="7348" width="35.140625" customWidth="1"/>
    <col min="56" max="56" style="7348" width="1.7109375" customWidth="1"/>
    <col min="57" max="57" style="7348" width="12.57421875" customWidth="1"/>
    <col min="58" max="58" style="7348" width="14.28125" customWidth="1"/>
    <col min="59" max="59" style="7348" width="30.7109375" customWidth="1"/>
    <col min="60" max="60" style="7348" width="40.7109375" customWidth="1"/>
    <col min="61" max="61" style="7348" width="15.00390625" customWidth="1"/>
    <col min="62" max="62" style="7348" width="40.7109375" customWidth="1"/>
    <col min="63" max="63" style="7348" width="2.7109375" customWidth="1"/>
    <col min="64" max="64" style="7348" width="44.7109375" customWidth="1"/>
    <col min="65" max="65" style="7348" width="2.7109375" customWidth="1"/>
    <col min="66" max="66" style="7348" width="40.7109375" customWidth="1"/>
    <col min="69" max="69" style="7348" width="18.140625" customWidth="1"/>
    <col min="70" max="70" style="7348" width="57.8515625" customWidth="1"/>
    <col min="71" max="71" style="7348" width="1.7109375" customWidth="1"/>
    <col min="72" max="72" style="7348" width="22.57421875" customWidth="1"/>
    <col min="73" max="73" style="7348" width="57.8515625" customWidth="1"/>
    <col min="74" max="74" style="7348" width="1.7109375" customWidth="1"/>
    <col min="75" max="75" style="7348" width="22.57421875" customWidth="1"/>
    <col min="76" max="76" style="7348" width="57.8515625" customWidth="1"/>
    <col min="77" max="77" style="7348" width="1.7109375" customWidth="1"/>
    <col min="78" max="78" style="7348" width="22.57421875" customWidth="1"/>
    <col min="79" max="79" style="7348" width="57.8515625" customWidth="1"/>
    <col min="82" max="82" style="7348" width="49.57421875" customWidth="1"/>
  </cols>
  <sheetData>
    <row customHeight="1" ht="11.25">
      <c r="A1" s="483" t="s">
        <v>1187</v>
      </c>
      <c r="B1" s="483" t="s">
        <v>1188</v>
      </c>
      <c r="C1" s="483" t="s">
        <v>1189</v>
      </c>
      <c r="D1" s="483" t="s">
        <v>1190</v>
      </c>
      <c r="E1" s="483" t="s">
        <v>1191</v>
      </c>
      <c r="F1" s="483" t="s">
        <v>1192</v>
      </c>
      <c r="G1" s="483" t="s">
        <v>1193</v>
      </c>
      <c r="H1" s="483" t="s">
        <v>1194</v>
      </c>
      <c r="I1" s="483" t="s">
        <v>1195</v>
      </c>
      <c r="J1" s="483" t="s">
        <v>1196</v>
      </c>
      <c r="K1" s="483" t="s">
        <v>1197</v>
      </c>
      <c r="L1" s="483" t="s">
        <v>1198</v>
      </c>
      <c r="M1" s="483"/>
      <c r="N1" s="483" t="s">
        <v>1199</v>
      </c>
      <c r="O1" s="483" t="s">
        <v>1200</v>
      </c>
      <c r="P1" s="483" t="s">
        <v>1201</v>
      </c>
      <c r="Q1" s="483" t="s">
        <v>1202</v>
      </c>
      <c r="R1" s="483" t="s">
        <v>1203</v>
      </c>
      <c r="S1" s="483" t="s">
        <v>1204</v>
      </c>
      <c r="T1" s="483" t="s">
        <v>1205</v>
      </c>
      <c r="U1" s="483" t="s">
        <v>1206</v>
      </c>
      <c r="V1" s="483"/>
      <c r="W1" s="484" t="s">
        <v>1207</v>
      </c>
      <c r="X1" s="483" t="s">
        <v>1208</v>
      </c>
      <c r="Y1" s="483" t="s">
        <v>1209</v>
      </c>
      <c r="Z1" s="483"/>
      <c r="AA1" s="483" t="s">
        <v>1210</v>
      </c>
      <c r="AB1" s="483"/>
      <c r="AC1" s="483" t="s">
        <v>1211</v>
      </c>
      <c r="AD1" s="483"/>
      <c r="AF1" s="483" t="s">
        <v>1212</v>
      </c>
      <c r="AH1" s="483" t="s">
        <v>1213</v>
      </c>
      <c r="AI1" s="483" t="s">
        <v>1214</v>
      </c>
      <c r="AK1" s="483" t="s">
        <v>1215</v>
      </c>
      <c r="AM1" s="483" t="s">
        <v>1216</v>
      </c>
      <c r="AP1" s="483" t="s">
        <v>1217</v>
      </c>
      <c r="AQ1" s="483" t="s">
        <v>1218</v>
      </c>
      <c r="AS1" s="483" t="s">
        <v>1219</v>
      </c>
      <c r="AU1" s="483" t="s">
        <v>1220</v>
      </c>
      <c r="AW1" s="483" t="s">
        <v>1221</v>
      </c>
      <c r="AX1" s="483" t="s">
        <v>1222</v>
      </c>
      <c r="AZ1" s="485" t="s">
        <v>1223</v>
      </c>
      <c r="BB1" s="483" t="s">
        <v>1224</v>
      </c>
      <c r="BC1" s="483"/>
      <c r="BE1" s="483" t="s">
        <v>1225</v>
      </c>
      <c r="BF1" s="483" t="s">
        <v>1226</v>
      </c>
      <c r="BH1" s="3672" t="s">
        <v>830</v>
      </c>
      <c r="BJ1" s="487" t="s">
        <v>1227</v>
      </c>
      <c r="BL1" s="488" t="s">
        <v>930</v>
      </c>
      <c r="BN1" s="489" t="s">
        <v>1228</v>
      </c>
    </row>
    <row customHeight="1" ht="11.25">
      <c r="A2" s="286" t="s">
        <v>1229</v>
      </c>
      <c r="B2" s="3673">
        <v>2000</v>
      </c>
      <c r="C2" s="3673">
        <v>2022</v>
      </c>
      <c r="D2" s="3673" t="s">
        <v>61</v>
      </c>
      <c r="E2" s="3674" t="s">
        <v>1230</v>
      </c>
      <c r="F2" s="3674" t="s">
        <v>1231</v>
      </c>
      <c r="G2" s="3674" t="s">
        <v>1232</v>
      </c>
      <c r="H2" s="3674" t="s">
        <v>53</v>
      </c>
      <c r="I2" s="3674" t="s">
        <v>107</v>
      </c>
      <c r="J2" s="3674" t="s">
        <v>1233</v>
      </c>
      <c r="K2" s="3675" t="s">
        <v>1234</v>
      </c>
      <c r="L2" s="3675"/>
      <c r="M2" s="3675">
        <v>1</v>
      </c>
      <c r="N2" s="3676" t="s">
        <v>1235</v>
      </c>
      <c r="O2" s="3674" t="s">
        <v>1236</v>
      </c>
      <c r="P2" s="494" t="s">
        <v>37</v>
      </c>
      <c r="Q2" s="495" t="s">
        <v>1237</v>
      </c>
      <c r="R2" s="496" t="s">
        <v>1238</v>
      </c>
      <c r="S2" s="496" t="s">
        <v>1239</v>
      </c>
      <c r="T2" s="3677" t="s">
        <v>1240</v>
      </c>
      <c r="U2" s="3675" t="s">
        <v>1241</v>
      </c>
      <c r="V2" s="3678">
        <v>1</v>
      </c>
      <c r="W2" s="3679"/>
      <c r="X2" s="3679" t="s">
        <v>1242</v>
      </c>
      <c r="Y2" s="3673" t="s">
        <v>1243</v>
      </c>
      <c r="Z2" s="3680"/>
      <c r="AA2" s="3673" t="s">
        <v>1244</v>
      </c>
      <c r="AB2" s="501" t="s">
        <v>1244</v>
      </c>
      <c r="AC2" s="3673" t="s">
        <v>1245</v>
      </c>
      <c r="AD2" s="501" t="s">
        <v>1245</v>
      </c>
      <c r="AF2" s="3674" t="s">
        <v>1241</v>
      </c>
      <c r="AH2" s="3674" t="s">
        <v>1246</v>
      </c>
      <c r="AI2" s="3674" t="s">
        <v>1246</v>
      </c>
      <c r="AK2" s="3674" t="s">
        <v>1247</v>
      </c>
      <c r="AM2" s="3674" t="s">
        <v>1248</v>
      </c>
      <c r="AP2" s="3681" t="s">
        <v>1242</v>
      </c>
      <c r="AQ2" s="3682" t="s">
        <v>1242</v>
      </c>
      <c r="AS2" s="3673" t="s">
        <v>1249</v>
      </c>
      <c r="AU2" s="3683" t="s">
        <v>1250</v>
      </c>
      <c r="AW2" s="3683" t="s">
        <v>1251</v>
      </c>
      <c r="AX2" s="3683" t="s">
        <v>1251</v>
      </c>
      <c r="AZ2" s="3683" t="s">
        <v>1252</v>
      </c>
      <c r="BB2" s="3683" t="s">
        <v>1253</v>
      </c>
      <c r="BC2" s="3683" t="s">
        <v>1254</v>
      </c>
      <c r="BE2" s="3683">
        <v>2000</v>
      </c>
      <c r="BF2" s="3683" t="s">
        <v>1255</v>
      </c>
    </row>
    <row customHeight="1" ht="11.25">
      <c r="A3" s="286" t="s">
        <v>1256</v>
      </c>
      <c r="B3" s="3673">
        <v>2001</v>
      </c>
      <c r="C3" s="3673">
        <v>2023</v>
      </c>
      <c r="D3" s="3673" t="s">
        <v>19</v>
      </c>
      <c r="E3" s="3674" t="s">
        <v>1257</v>
      </c>
      <c r="F3" s="3674" t="s">
        <v>1258</v>
      </c>
      <c r="G3" s="3674" t="s">
        <v>1259</v>
      </c>
      <c r="H3" s="3674" t="s">
        <v>1260</v>
      </c>
      <c r="I3" s="3674" t="s">
        <v>108</v>
      </c>
      <c r="J3" s="3674" t="s">
        <v>571</v>
      </c>
      <c r="K3" s="3675" t="s">
        <v>1261</v>
      </c>
      <c r="L3" s="3675">
        <f>_xlfn.IFERROR(MATCH(K3,OFFER_METHOD,0),0)</f>
        <v>0</v>
      </c>
      <c r="M3" s="3675">
        <v>2</v>
      </c>
      <c r="N3" s="3676" t="s">
        <v>1262</v>
      </c>
      <c r="O3" s="3674" t="s">
        <v>1263</v>
      </c>
      <c r="P3" s="494" t="s">
        <v>1264</v>
      </c>
      <c r="Q3" s="495" t="s">
        <v>1265</v>
      </c>
      <c r="R3" s="496" t="s">
        <v>1266</v>
      </c>
      <c r="S3" s="496" t="s">
        <v>1267</v>
      </c>
      <c r="T3" s="3677" t="s">
        <v>1268</v>
      </c>
      <c r="U3" s="3675" t="s">
        <v>1269</v>
      </c>
      <c r="V3" s="3678">
        <v>2</v>
      </c>
      <c r="W3" s="3679"/>
      <c r="X3" s="3679" t="s">
        <v>1270</v>
      </c>
      <c r="Y3" s="3673" t="s">
        <v>1243</v>
      </c>
      <c r="Z3" s="3680"/>
      <c r="AA3" s="3673" t="s">
        <v>1271</v>
      </c>
      <c r="AB3" s="501" t="s">
        <v>1271</v>
      </c>
      <c r="AC3" s="3673" t="s">
        <v>1272</v>
      </c>
      <c r="AD3" s="501" t="s">
        <v>1272</v>
      </c>
      <c r="AF3" s="3674" t="s">
        <v>1269</v>
      </c>
      <c r="AH3" s="3674" t="s">
        <v>1273</v>
      </c>
      <c r="AI3" s="3674" t="s">
        <v>1274</v>
      </c>
      <c r="AK3" s="3674" t="s">
        <v>1275</v>
      </c>
      <c r="AM3" s="3674" t="s">
        <v>1276</v>
      </c>
      <c r="AP3" s="3681" t="s">
        <v>1277</v>
      </c>
      <c r="AQ3" s="3682" t="s">
        <v>1277</v>
      </c>
      <c r="AS3" s="3673" t="s">
        <v>1278</v>
      </c>
      <c r="AU3" s="3683" t="s">
        <v>1279</v>
      </c>
      <c r="AW3" s="3683" t="s">
        <v>1280</v>
      </c>
      <c r="AX3" s="3683" t="s">
        <v>1280</v>
      </c>
      <c r="AZ3" s="3683" t="s">
        <v>1281</v>
      </c>
      <c r="BB3" s="3683" t="s">
        <v>1282</v>
      </c>
      <c r="BC3" s="3683" t="s">
        <v>1254</v>
      </c>
      <c r="BE3" s="3683">
        <v>2001</v>
      </c>
      <c r="BF3" s="3683" t="s">
        <v>1283</v>
      </c>
      <c r="BH3" s="483" t="s">
        <v>1284</v>
      </c>
      <c r="BJ3" s="483" t="s">
        <v>1285</v>
      </c>
      <c r="BL3" s="483" t="s">
        <v>1286</v>
      </c>
      <c r="BN3" s="483" t="s">
        <v>1287</v>
      </c>
      <c r="BR3" s="483" t="s">
        <v>1288</v>
      </c>
      <c r="BU3" s="483" t="s">
        <v>1289</v>
      </c>
      <c r="BX3" s="483" t="s">
        <v>1290</v>
      </c>
      <c r="CA3" s="483" t="s">
        <v>1291</v>
      </c>
    </row>
    <row customHeight="1" ht="11.25">
      <c r="A4" s="286" t="s">
        <v>1292</v>
      </c>
      <c r="B4" s="3673">
        <v>2002</v>
      </c>
      <c r="C4" s="3673">
        <v>2024</v>
      </c>
      <c r="E4" s="3674" t="s">
        <v>1293</v>
      </c>
      <c r="F4" s="3674" t="s">
        <v>1294</v>
      </c>
      <c r="H4" s="3674" t="s">
        <v>1295</v>
      </c>
      <c r="I4" s="3674" t="s">
        <v>88</v>
      </c>
      <c r="J4" s="3674" t="s">
        <v>1296</v>
      </c>
      <c r="K4" s="3675" t="s">
        <v>1297</v>
      </c>
      <c r="L4" s="3675">
        <f>_xlfn.IFERROR(MATCH(K4,OFFER_METHOD,0),0)</f>
        <v>0</v>
      </c>
      <c r="M4" s="3675">
        <v>3</v>
      </c>
      <c r="N4" s="3676" t="s">
        <v>1298</v>
      </c>
      <c r="O4" s="3674" t="s">
        <v>1299</v>
      </c>
      <c r="Q4" s="495" t="s">
        <v>1300</v>
      </c>
      <c r="R4" s="496" t="s">
        <v>1301</v>
      </c>
      <c r="S4" s="496" t="s">
        <v>1302</v>
      </c>
      <c r="T4" s="3677" t="s">
        <v>1303</v>
      </c>
      <c r="U4" s="3675" t="s">
        <v>1304</v>
      </c>
      <c r="V4" s="3678">
        <v>3</v>
      </c>
      <c r="W4" s="3679"/>
      <c r="X4" s="3679" t="s">
        <v>1305</v>
      </c>
      <c r="Y4" s="3673" t="s">
        <v>1243</v>
      </c>
      <c r="AC4" s="3673" t="s">
        <v>1306</v>
      </c>
      <c r="AD4" s="501" t="s">
        <v>1306</v>
      </c>
      <c r="AF4" s="3674" t="s">
        <v>1304</v>
      </c>
      <c r="AH4" s="3674" t="s">
        <v>1307</v>
      </c>
      <c r="AK4" s="3674" t="s">
        <v>1308</v>
      </c>
      <c r="AM4" s="3674" t="s">
        <v>1309</v>
      </c>
      <c r="AP4" s="3681" t="s">
        <v>1270</v>
      </c>
      <c r="AQ4" s="3682" t="s">
        <v>1270</v>
      </c>
      <c r="AS4" s="3673" t="s">
        <v>1310</v>
      </c>
      <c r="AU4" s="3683" t="s">
        <v>1311</v>
      </c>
      <c r="AW4" s="3683" t="s">
        <v>1312</v>
      </c>
      <c r="AX4" s="3683" t="s">
        <v>1312</v>
      </c>
      <c r="AZ4" s="3683" t="s">
        <v>1313</v>
      </c>
      <c r="BB4" s="3683" t="s">
        <v>1314</v>
      </c>
      <c r="BC4" s="3683" t="s">
        <v>1315</v>
      </c>
      <c r="BE4" s="3683">
        <v>2002</v>
      </c>
      <c r="BF4" s="3683" t="s">
        <v>1316</v>
      </c>
      <c r="BH4" s="3684" t="s">
        <v>1317</v>
      </c>
      <c r="BJ4" s="3684" t="s">
        <v>1317</v>
      </c>
      <c r="BL4" s="3684" t="s">
        <v>1317</v>
      </c>
      <c r="BN4" s="3684" t="s">
        <v>1317</v>
      </c>
      <c r="BQ4" s="3685" t="s">
        <v>1318</v>
      </c>
      <c r="BR4" s="3681" t="s">
        <v>1319</v>
      </c>
      <c r="BT4" s="3685" t="s">
        <v>1320</v>
      </c>
      <c r="BU4" s="3681" t="s">
        <v>1321</v>
      </c>
      <c r="BW4" s="3685" t="s">
        <v>1322</v>
      </c>
      <c r="BX4" s="3681" t="s">
        <v>1323</v>
      </c>
      <c r="BZ4" s="3685" t="s">
        <v>1324</v>
      </c>
      <c r="CA4" s="3681" t="s">
        <v>1325</v>
      </c>
    </row>
    <row customHeight="1" ht="11.25">
      <c r="A5" s="286" t="s">
        <v>1326</v>
      </c>
      <c r="B5" s="3673">
        <v>2003</v>
      </c>
      <c r="C5" s="3673">
        <v>2025</v>
      </c>
      <c r="E5" s="3674" t="s">
        <v>1327</v>
      </c>
      <c r="F5" s="3674" t="s">
        <v>1328</v>
      </c>
      <c r="H5" s="3674" t="s">
        <v>1329</v>
      </c>
      <c r="I5" s="3674" t="s">
        <v>89</v>
      </c>
      <c r="K5" s="3675" t="s">
        <v>1330</v>
      </c>
      <c r="L5" s="3675">
        <f>_xlfn.IFERROR(MATCH(K5,OFFER_METHOD,0),0)</f>
        <v>0</v>
      </c>
      <c r="M5" s="3675">
        <v>4</v>
      </c>
      <c r="N5" s="507" t="s">
        <v>1331</v>
      </c>
      <c r="O5" s="3674" t="s">
        <v>1332</v>
      </c>
      <c r="Q5" s="495" t="s">
        <v>1333</v>
      </c>
      <c r="R5" s="496" t="s">
        <v>1334</v>
      </c>
      <c r="T5" s="3674" t="s">
        <v>1335</v>
      </c>
      <c r="U5" s="3675" t="s">
        <v>1336</v>
      </c>
      <c r="V5" s="3678">
        <v>4</v>
      </c>
      <c r="W5" s="3679"/>
      <c r="X5" s="3679" t="s">
        <v>183</v>
      </c>
      <c r="Y5" s="3673" t="s">
        <v>1337</v>
      </c>
      <c r="Z5" s="3510">
        <v>1</v>
      </c>
      <c r="AF5" s="3674" t="s">
        <v>1338</v>
      </c>
      <c r="AH5" s="3674" t="s">
        <v>1339</v>
      </c>
      <c r="AK5" s="3674" t="s">
        <v>1340</v>
      </c>
      <c r="AM5" s="3674" t="s">
        <v>1341</v>
      </c>
      <c r="AP5" s="3681" t="s">
        <v>183</v>
      </c>
      <c r="AQ5" s="3682" t="s">
        <v>183</v>
      </c>
      <c r="AU5" s="3683" t="s">
        <v>1342</v>
      </c>
      <c r="AW5" s="3683" t="s">
        <v>1343</v>
      </c>
      <c r="AX5" s="3683" t="s">
        <v>1343</v>
      </c>
      <c r="AZ5" s="3683" t="s">
        <v>1344</v>
      </c>
      <c r="BB5" s="3683" t="s">
        <v>1345</v>
      </c>
      <c r="BC5" s="3683" t="s">
        <v>1346</v>
      </c>
      <c r="BE5" s="3683">
        <v>2003</v>
      </c>
      <c r="BF5" s="3683" t="s">
        <v>1347</v>
      </c>
      <c r="BH5" s="3684" t="s">
        <v>1348</v>
      </c>
      <c r="BJ5" s="3684" t="s">
        <v>1348</v>
      </c>
      <c r="BL5" s="3684" t="s">
        <v>1348</v>
      </c>
      <c r="BN5" s="3684" t="s">
        <v>1349</v>
      </c>
      <c r="BQ5" s="3683">
        <v>4213775</v>
      </c>
      <c r="BR5" s="3684" t="s">
        <v>1242</v>
      </c>
      <c r="BT5" s="3683">
        <v>64236871</v>
      </c>
      <c r="BU5" s="3684" t="s">
        <v>244</v>
      </c>
      <c r="BW5" s="3683">
        <v>4213767</v>
      </c>
      <c r="BX5" s="3684" t="s">
        <v>1350</v>
      </c>
      <c r="BZ5" s="3683">
        <v>64237509</v>
      </c>
      <c r="CA5" s="3686" t="s">
        <v>1351</v>
      </c>
    </row>
    <row customHeight="1" ht="11.25">
      <c r="A6" s="286" t="s">
        <v>1352</v>
      </c>
      <c r="B6" s="3673">
        <v>2004</v>
      </c>
      <c r="C6" s="3673">
        <v>2026</v>
      </c>
      <c r="E6" s="3674" t="s">
        <v>1353</v>
      </c>
      <c r="H6" s="3674" t="s">
        <v>1354</v>
      </c>
      <c r="I6" s="3674" t="s">
        <v>109</v>
      </c>
      <c r="J6" s="483" t="s">
        <v>1355</v>
      </c>
      <c r="L6" s="3675">
        <f>SUM(kind_of_control_method_filter)</f>
        <v>0</v>
      </c>
      <c r="N6" s="507" t="s">
        <v>1356</v>
      </c>
      <c r="O6" s="3674" t="s">
        <v>1357</v>
      </c>
      <c r="R6" s="496" t="s">
        <v>1237</v>
      </c>
      <c r="T6" s="3674" t="s">
        <v>1358</v>
      </c>
      <c r="U6" s="3675" t="s">
        <v>1338</v>
      </c>
      <c r="V6" s="3678">
        <v>5</v>
      </c>
      <c r="W6" s="3679"/>
      <c r="X6" s="3673" t="s">
        <v>189</v>
      </c>
      <c r="Y6" s="3673" t="s">
        <v>1359</v>
      </c>
      <c r="AH6" s="3674" t="s">
        <v>1360</v>
      </c>
      <c r="AK6" s="3674" t="s">
        <v>1361</v>
      </c>
      <c r="AM6" s="3674" t="s">
        <v>1362</v>
      </c>
      <c r="AP6" s="3681" t="s">
        <v>189</v>
      </c>
      <c r="AQ6" s="3682" t="s">
        <v>189</v>
      </c>
      <c r="AU6" s="3683" t="s">
        <v>1363</v>
      </c>
      <c r="AW6" s="3683" t="s">
        <v>1364</v>
      </c>
      <c r="AX6" s="3683" t="s">
        <v>1364</v>
      </c>
      <c r="BB6" s="3683" t="s">
        <v>1365</v>
      </c>
      <c r="BC6" s="3683" t="s">
        <v>1346</v>
      </c>
      <c r="BE6" s="3683">
        <v>2004</v>
      </c>
      <c r="BF6" s="3683" t="s">
        <v>1366</v>
      </c>
      <c r="BH6" s="3684" t="s">
        <v>1367</v>
      </c>
      <c r="BJ6" s="3684" t="s">
        <v>1368</v>
      </c>
      <c r="BL6" s="3684" t="s">
        <v>1368</v>
      </c>
      <c r="BN6" s="3684" t="s">
        <v>1369</v>
      </c>
      <c r="BQ6" s="3683">
        <v>4213784</v>
      </c>
      <c r="BR6" s="3686" t="s">
        <v>1277</v>
      </c>
      <c r="BT6" s="3683">
        <v>64236872</v>
      </c>
      <c r="BU6" s="3684" t="s">
        <v>249</v>
      </c>
      <c r="BW6" s="3683">
        <v>4213768</v>
      </c>
      <c r="BX6" s="3684" t="s">
        <v>269</v>
      </c>
      <c r="BZ6" s="3683">
        <v>64237510</v>
      </c>
      <c r="CA6" s="3684" t="s">
        <v>1370</v>
      </c>
    </row>
    <row customHeight="1" ht="11.25">
      <c r="A7" s="286" t="s">
        <v>1371</v>
      </c>
      <c r="B7" s="3673">
        <v>2005</v>
      </c>
      <c r="E7" s="3674" t="s">
        <v>1372</v>
      </c>
      <c r="H7" s="3674" t="s">
        <v>1373</v>
      </c>
      <c r="I7" s="3674" t="s">
        <v>90</v>
      </c>
      <c r="J7" s="3674" t="s">
        <v>1374</v>
      </c>
      <c r="N7" s="509" t="s">
        <v>1375</v>
      </c>
      <c r="O7" s="3674" t="s">
        <v>1376</v>
      </c>
      <c r="U7" s="3675" t="s">
        <v>19</v>
      </c>
      <c r="V7" s="510" t="s">
        <v>90</v>
      </c>
      <c r="W7" s="3679"/>
      <c r="X7" s="3673" t="s">
        <v>195</v>
      </c>
      <c r="Y7" s="3673" t="s">
        <v>1337</v>
      </c>
      <c r="AH7" s="3674" t="s">
        <v>1377</v>
      </c>
      <c r="AK7" s="3674" t="s">
        <v>1378</v>
      </c>
      <c r="AM7" s="3674" t="s">
        <v>1379</v>
      </c>
      <c r="AP7" s="3681" t="s">
        <v>195</v>
      </c>
      <c r="AQ7" s="3682" t="s">
        <v>195</v>
      </c>
      <c r="AU7" s="3683" t="s">
        <v>1380</v>
      </c>
      <c r="AW7" s="3683" t="s">
        <v>1381</v>
      </c>
      <c r="AX7" s="3683" t="s">
        <v>1381</v>
      </c>
      <c r="AZ7" s="483" t="s">
        <v>1382</v>
      </c>
      <c r="BB7" s="3683" t="s">
        <v>1383</v>
      </c>
      <c r="BC7" s="3683" t="s">
        <v>1346</v>
      </c>
      <c r="BE7" s="3683">
        <v>2005</v>
      </c>
      <c r="BF7" s="3683" t="s">
        <v>1384</v>
      </c>
      <c r="BH7" s="3684" t="s">
        <v>1385</v>
      </c>
      <c r="BJ7" s="3684" t="s">
        <v>1367</v>
      </c>
      <c r="BL7" s="3684" t="s">
        <v>1367</v>
      </c>
      <c r="BN7" s="3684" t="s">
        <v>1386</v>
      </c>
      <c r="BQ7" s="3683">
        <v>4213781</v>
      </c>
      <c r="BR7" s="3684" t="s">
        <v>1270</v>
      </c>
      <c r="BT7" s="3683">
        <v>64236873</v>
      </c>
      <c r="BU7" s="3684" t="s">
        <v>254</v>
      </c>
      <c r="BW7" s="3683">
        <v>4213769</v>
      </c>
      <c r="BX7" s="3684" t="s">
        <v>1387</v>
      </c>
      <c r="BZ7" s="3683">
        <v>64237511</v>
      </c>
      <c r="CA7" s="3684" t="s">
        <v>284</v>
      </c>
    </row>
    <row customHeight="1" ht="11.25">
      <c r="A8" s="286" t="s">
        <v>1388</v>
      </c>
      <c r="B8" s="3673">
        <v>2006</v>
      </c>
      <c r="E8" s="3674" t="s">
        <v>1389</v>
      </c>
      <c r="H8" s="3674" t="s">
        <v>1390</v>
      </c>
      <c r="I8" s="3674" t="s">
        <v>91</v>
      </c>
      <c r="J8" s="3674" t="s">
        <v>1391</v>
      </c>
      <c r="N8" s="3687" t="s">
        <v>1392</v>
      </c>
      <c r="O8" s="3674" t="s">
        <v>1393</v>
      </c>
      <c r="V8" s="510" t="s">
        <v>91</v>
      </c>
      <c r="W8" s="3679"/>
      <c r="X8" s="3673" t="s">
        <v>201</v>
      </c>
      <c r="Y8" s="3673" t="s">
        <v>1337</v>
      </c>
      <c r="AK8" s="3674" t="s">
        <v>1394</v>
      </c>
      <c r="AP8" s="3681" t="s">
        <v>201</v>
      </c>
      <c r="AQ8" s="3682" t="s">
        <v>201</v>
      </c>
      <c r="AU8" s="3683" t="s">
        <v>1395</v>
      </c>
      <c r="AW8" s="3683" t="s">
        <v>1396</v>
      </c>
      <c r="AX8" s="3683" t="s">
        <v>1396</v>
      </c>
      <c r="AZ8" s="3683" t="s">
        <v>1397</v>
      </c>
      <c r="BB8" s="3683" t="s">
        <v>1398</v>
      </c>
      <c r="BC8" s="3683" t="s">
        <v>1346</v>
      </c>
      <c r="BE8" s="3683">
        <v>2006</v>
      </c>
      <c r="BF8" s="3683" t="s">
        <v>1399</v>
      </c>
      <c r="BH8" s="3684" t="s">
        <v>1400</v>
      </c>
      <c r="BJ8" s="3684" t="s">
        <v>1401</v>
      </c>
      <c r="BL8" s="3684" t="s">
        <v>1401</v>
      </c>
      <c r="BN8" s="3684" t="s">
        <v>1402</v>
      </c>
      <c r="BQ8" s="3683">
        <v>4213776</v>
      </c>
      <c r="BR8" s="3684" t="s">
        <v>183</v>
      </c>
      <c r="BT8" s="3683">
        <v>64236874</v>
      </c>
      <c r="BU8" s="3686" t="s">
        <v>1403</v>
      </c>
      <c r="BW8" s="3683">
        <v>4213770</v>
      </c>
      <c r="BX8" s="3686" t="s">
        <v>1404</v>
      </c>
      <c r="BZ8" s="3683">
        <v>64237512</v>
      </c>
      <c r="CA8" s="3684" t="s">
        <v>279</v>
      </c>
    </row>
    <row customHeight="1" ht="11.25">
      <c r="A9" s="286" t="s">
        <v>1405</v>
      </c>
      <c r="B9" s="3673">
        <v>2007</v>
      </c>
      <c r="E9" s="3674" t="s">
        <v>1406</v>
      </c>
      <c r="G9" s="483" t="s">
        <v>1407</v>
      </c>
      <c r="H9" s="483" t="s">
        <v>1408</v>
      </c>
      <c r="I9" s="3674" t="s">
        <v>110</v>
      </c>
      <c r="O9" s="3674" t="s">
        <v>1409</v>
      </c>
      <c r="V9" s="510" t="s">
        <v>110</v>
      </c>
      <c r="W9" s="3679"/>
      <c r="X9" s="3673" t="s">
        <v>207</v>
      </c>
      <c r="Y9" s="3673" t="s">
        <v>1243</v>
      </c>
      <c r="Z9" s="3510">
        <v>1</v>
      </c>
      <c r="AK9" s="3674" t="s">
        <v>1410</v>
      </c>
      <c r="AP9" s="3681" t="s">
        <v>1411</v>
      </c>
      <c r="AQ9" s="3682" t="s">
        <v>1411</v>
      </c>
      <c r="AW9" s="3683" t="s">
        <v>1412</v>
      </c>
      <c r="AX9" s="3683" t="s">
        <v>1412</v>
      </c>
      <c r="AZ9" s="3683" t="s">
        <v>1413</v>
      </c>
      <c r="BB9" s="3683" t="s">
        <v>1414</v>
      </c>
      <c r="BC9" s="3683" t="s">
        <v>1346</v>
      </c>
      <c r="BE9" s="3683">
        <v>2007</v>
      </c>
      <c r="BF9" s="3683" t="s">
        <v>1415</v>
      </c>
      <c r="BH9" s="3684" t="s">
        <v>1416</v>
      </c>
      <c r="BJ9" s="3684" t="s">
        <v>1417</v>
      </c>
      <c r="BL9" s="3684" t="s">
        <v>1417</v>
      </c>
      <c r="BN9" s="3684" t="s">
        <v>1418</v>
      </c>
      <c r="BQ9" s="3683">
        <v>4213777</v>
      </c>
      <c r="BR9" s="3684" t="s">
        <v>189</v>
      </c>
      <c r="BT9" s="3683">
        <v>64236875</v>
      </c>
      <c r="BU9" s="3684" t="s">
        <v>259</v>
      </c>
    </row>
    <row customHeight="1" ht="11.25">
      <c r="A10" s="286" t="s">
        <v>1419</v>
      </c>
      <c r="B10" s="3673">
        <v>2008</v>
      </c>
      <c r="E10" s="3674" t="s">
        <v>1420</v>
      </c>
      <c r="G10" s="3674" t="s">
        <v>1421</v>
      </c>
      <c r="H10" s="3674" t="s">
        <v>1422</v>
      </c>
      <c r="I10" s="3674" t="s">
        <v>134</v>
      </c>
      <c r="J10" s="483" t="s">
        <v>1423</v>
      </c>
      <c r="K10" s="483" t="s">
        <v>1424</v>
      </c>
      <c r="O10" s="3674" t="s">
        <v>1425</v>
      </c>
      <c r="V10" s="512" t="s">
        <v>134</v>
      </c>
      <c r="W10" s="3688"/>
      <c r="X10" s="3688" t="s">
        <v>1426</v>
      </c>
      <c r="Y10" s="3689" t="s">
        <v>1427</v>
      </c>
      <c r="AP10" s="3681" t="s">
        <v>1426</v>
      </c>
      <c r="AQ10" s="3682" t="s">
        <v>1426</v>
      </c>
      <c r="AW10" s="3683" t="s">
        <v>1428</v>
      </c>
      <c r="AX10" s="3683" t="s">
        <v>1428</v>
      </c>
      <c r="AZ10" s="3683" t="s">
        <v>1429</v>
      </c>
      <c r="BB10" s="3683" t="s">
        <v>1430</v>
      </c>
      <c r="BC10" s="3683" t="s">
        <v>1346</v>
      </c>
      <c r="BE10" s="3683">
        <v>2008</v>
      </c>
      <c r="BF10" s="3683" t="s">
        <v>1431</v>
      </c>
      <c r="BH10" s="3684" t="s">
        <v>1432</v>
      </c>
      <c r="BJ10" s="3684" t="s">
        <v>1433</v>
      </c>
      <c r="BL10" s="3684" t="s">
        <v>1433</v>
      </c>
      <c r="BN10" s="3684" t="s">
        <v>1434</v>
      </c>
      <c r="BQ10" s="3683">
        <v>4213778</v>
      </c>
      <c r="BR10" s="3684" t="s">
        <v>195</v>
      </c>
      <c r="BT10" s="3683">
        <v>64236876</v>
      </c>
      <c r="BU10" s="3684" t="s">
        <v>239</v>
      </c>
    </row>
    <row customHeight="1" ht="11.25">
      <c r="A11" s="286" t="s">
        <v>1435</v>
      </c>
      <c r="B11" s="3673">
        <v>2009</v>
      </c>
      <c r="E11" s="3674" t="s">
        <v>1436</v>
      </c>
      <c r="G11" s="3674" t="s">
        <v>1437</v>
      </c>
      <c r="H11" s="3674" t="s">
        <v>1438</v>
      </c>
      <c r="I11" s="3674" t="s">
        <v>166</v>
      </c>
      <c r="J11" s="3674" t="s">
        <v>1439</v>
      </c>
      <c r="K11" s="515" t="s">
        <v>1440</v>
      </c>
      <c r="O11" s="3674" t="s">
        <v>1441</v>
      </c>
      <c r="V11" s="510" t="s">
        <v>166</v>
      </c>
      <c r="W11" s="516"/>
      <c r="X11" s="3679" t="s">
        <v>1411</v>
      </c>
      <c r="Y11" s="3673" t="s">
        <v>1442</v>
      </c>
      <c r="AP11" s="3681" t="s">
        <v>207</v>
      </c>
      <c r="AQ11" s="517" t="s">
        <v>207</v>
      </c>
      <c r="AW11" s="3683" t="s">
        <v>1443</v>
      </c>
      <c r="AX11" s="3683" t="s">
        <v>1443</v>
      </c>
      <c r="AZ11" s="3683" t="s">
        <v>1444</v>
      </c>
      <c r="BB11" s="3683" t="s">
        <v>1445</v>
      </c>
      <c r="BC11" s="3683" t="s">
        <v>1346</v>
      </c>
      <c r="BE11" s="3683">
        <v>2009</v>
      </c>
      <c r="BF11" s="3683" t="s">
        <v>1446</v>
      </c>
      <c r="BH11" s="3684" t="s">
        <v>1447</v>
      </c>
      <c r="BJ11" s="3684" t="s">
        <v>1416</v>
      </c>
      <c r="BL11" s="3684" t="s">
        <v>1416</v>
      </c>
      <c r="BN11" s="3684" t="s">
        <v>1448</v>
      </c>
      <c r="BQ11" s="3683">
        <v>4213780</v>
      </c>
      <c r="BR11" s="3684" t="s">
        <v>201</v>
      </c>
    </row>
    <row customHeight="1" ht="11.25">
      <c r="A12" s="286" t="s">
        <v>1449</v>
      </c>
      <c r="B12" s="3673">
        <v>2010</v>
      </c>
      <c r="E12" s="3674" t="s">
        <v>1450</v>
      </c>
      <c r="G12" s="3674" t="s">
        <v>1438</v>
      </c>
      <c r="I12" s="3674" t="s">
        <v>167</v>
      </c>
      <c r="J12" s="3674" t="s">
        <v>1451</v>
      </c>
      <c r="K12" s="515" t="s">
        <v>1452</v>
      </c>
      <c r="O12" s="3674" t="s">
        <v>1237</v>
      </c>
      <c r="V12" s="510" t="s">
        <v>167</v>
      </c>
      <c r="W12" s="517"/>
      <c r="X12" s="3679" t="s">
        <v>1453</v>
      </c>
      <c r="Y12" s="3673" t="s">
        <v>1243</v>
      </c>
      <c r="AW12" s="3683" t="s">
        <v>166</v>
      </c>
      <c r="AX12" s="3683" t="s">
        <v>166</v>
      </c>
      <c r="AZ12" s="3683" t="s">
        <v>1454</v>
      </c>
      <c r="BB12" s="3683" t="s">
        <v>1455</v>
      </c>
      <c r="BC12" s="3683" t="s">
        <v>1346</v>
      </c>
      <c r="BE12" s="3683">
        <v>2010</v>
      </c>
      <c r="BF12" s="3683" t="s">
        <v>1456</v>
      </c>
      <c r="BH12" s="3684" t="s">
        <v>1457</v>
      </c>
      <c r="BJ12" s="3684" t="s">
        <v>1458</v>
      </c>
      <c r="BL12" s="3684" t="s">
        <v>1458</v>
      </c>
      <c r="BN12" s="3684" t="s">
        <v>1459</v>
      </c>
      <c r="BQ12" s="3683">
        <v>4213779</v>
      </c>
      <c r="BR12" s="3684" t="s">
        <v>1411</v>
      </c>
    </row>
    <row customHeight="1" ht="11.25">
      <c r="A13" s="286" t="s">
        <v>1460</v>
      </c>
      <c r="B13" s="3673">
        <v>2011</v>
      </c>
      <c r="E13" s="3674" t="s">
        <v>1461</v>
      </c>
      <c r="I13" s="3674" t="s">
        <v>168</v>
      </c>
      <c r="K13" s="515" t="s">
        <v>1410</v>
      </c>
      <c r="V13" s="510" t="s">
        <v>168</v>
      </c>
      <c r="W13" s="517"/>
      <c r="X13" s="517"/>
      <c r="Y13" s="517"/>
      <c r="AW13" s="3683" t="s">
        <v>167</v>
      </c>
      <c r="AX13" s="3683" t="s">
        <v>167</v>
      </c>
      <c r="BB13" s="3683" t="s">
        <v>1462</v>
      </c>
      <c r="BC13" s="3683" t="s">
        <v>1463</v>
      </c>
      <c r="BE13" s="3683">
        <v>2011</v>
      </c>
      <c r="BF13" s="3683" t="s">
        <v>1464</v>
      </c>
      <c r="BH13" s="3684" t="s">
        <v>1465</v>
      </c>
      <c r="BJ13" s="3684" t="s">
        <v>1447</v>
      </c>
      <c r="BL13" s="3684" t="s">
        <v>1447</v>
      </c>
      <c r="BN13" s="3684" t="s">
        <v>1466</v>
      </c>
      <c r="BQ13" s="3683">
        <v>4213783</v>
      </c>
      <c r="BR13" s="3684" t="s">
        <v>1426</v>
      </c>
    </row>
    <row customHeight="1" ht="11.25">
      <c r="A14" s="286" t="s">
        <v>1467</v>
      </c>
      <c r="B14" s="3673">
        <v>2012</v>
      </c>
      <c r="I14" s="3674" t="s">
        <v>169</v>
      </c>
      <c r="J14" s="483" t="s">
        <v>1468</v>
      </c>
      <c r="N14" s="483" t="s">
        <v>1469</v>
      </c>
      <c r="V14" s="3678">
        <v>13</v>
      </c>
      <c r="W14" s="3679"/>
      <c r="X14" s="3679" t="s">
        <v>1277</v>
      </c>
      <c r="Y14" s="3673" t="s">
        <v>1243</v>
      </c>
      <c r="AW14" s="3683" t="s">
        <v>168</v>
      </c>
      <c r="AX14" s="3683" t="s">
        <v>168</v>
      </c>
      <c r="AZ14" s="483" t="s">
        <v>1470</v>
      </c>
      <c r="BB14" s="3683" t="s">
        <v>1471</v>
      </c>
      <c r="BC14" s="3683" t="s">
        <v>1463</v>
      </c>
      <c r="BE14" s="3683">
        <v>2012</v>
      </c>
      <c r="BH14" s="3684" t="s">
        <v>1386</v>
      </c>
      <c r="BJ14" s="3690" t="s">
        <v>1472</v>
      </c>
      <c r="BL14" s="3690" t="s">
        <v>1472</v>
      </c>
      <c r="BN14" s="3684" t="s">
        <v>1473</v>
      </c>
      <c r="BQ14" s="3683">
        <v>4213782</v>
      </c>
      <c r="BR14" s="3684" t="s">
        <v>207</v>
      </c>
    </row>
    <row customHeight="1" ht="19.5">
      <c r="A15" s="286" t="s">
        <v>1474</v>
      </c>
      <c r="B15" s="3673">
        <v>2013</v>
      </c>
      <c r="E15" s="3691" t="s">
        <v>1475</v>
      </c>
      <c r="G15" s="483" t="s">
        <v>1476</v>
      </c>
      <c r="H15" s="483" t="s">
        <v>1477</v>
      </c>
      <c r="I15" s="3675" t="s">
        <v>170</v>
      </c>
      <c r="J15" s="517" t="s">
        <v>599</v>
      </c>
      <c r="N15" s="520" t="s">
        <v>1478</v>
      </c>
      <c r="AW15" s="3683" t="s">
        <v>169</v>
      </c>
      <c r="AX15" s="3683" t="s">
        <v>169</v>
      </c>
      <c r="AZ15" s="3683" t="s">
        <v>1397</v>
      </c>
      <c r="BB15" s="3683" t="s">
        <v>1479</v>
      </c>
      <c r="BC15" s="3683" t="s">
        <v>1463</v>
      </c>
      <c r="BE15" s="3683">
        <v>2013</v>
      </c>
      <c r="BH15" s="3684" t="s">
        <v>1402</v>
      </c>
      <c r="BJ15" s="3690" t="s">
        <v>1480</v>
      </c>
      <c r="BL15" s="3690" t="s">
        <v>1480</v>
      </c>
      <c r="BN15" s="3684" t="s">
        <v>1481</v>
      </c>
    </row>
    <row customHeight="1" ht="21">
      <c r="A16" s="521" t="s">
        <v>1482</v>
      </c>
      <c r="B16" s="3673">
        <v>2014</v>
      </c>
      <c r="E16" s="3692" t="s">
        <v>1483</v>
      </c>
      <c r="G16" s="3674" t="s">
        <v>1484</v>
      </c>
      <c r="H16" s="3674" t="s">
        <v>1485</v>
      </c>
      <c r="I16" s="3675" t="s">
        <v>1486</v>
      </c>
      <c r="J16" s="517" t="s">
        <v>571</v>
      </c>
      <c r="N16" s="520" t="s">
        <v>1487</v>
      </c>
      <c r="AW16" s="3683" t="s">
        <v>170</v>
      </c>
      <c r="AX16" s="3683" t="s">
        <v>170</v>
      </c>
      <c r="AZ16" s="3683" t="s">
        <v>1413</v>
      </c>
      <c r="BB16" s="3683" t="s">
        <v>1488</v>
      </c>
      <c r="BC16" s="3683" t="s">
        <v>1463</v>
      </c>
      <c r="BE16" s="3683">
        <v>2014</v>
      </c>
      <c r="BH16" s="3684" t="s">
        <v>1418</v>
      </c>
      <c r="BJ16" s="3690" t="s">
        <v>1489</v>
      </c>
      <c r="BL16" s="3690" t="s">
        <v>1489</v>
      </c>
      <c r="BN16" s="3684" t="s">
        <v>1490</v>
      </c>
    </row>
    <row customHeight="1" ht="21">
      <c r="A17" s="286" t="s">
        <v>1491</v>
      </c>
      <c r="B17" s="3673">
        <v>2015</v>
      </c>
      <c r="G17" s="3674" t="s">
        <v>1438</v>
      </c>
      <c r="H17" s="3674" t="s">
        <v>1438</v>
      </c>
      <c r="I17" s="3674" t="s">
        <v>1492</v>
      </c>
      <c r="N17" s="520" t="s">
        <v>1493</v>
      </c>
      <c r="AW17" s="3683" t="s">
        <v>1486</v>
      </c>
      <c r="AX17" s="3683" t="s">
        <v>1486</v>
      </c>
      <c r="AZ17" s="3683" t="s">
        <v>1494</v>
      </c>
      <c r="BB17" s="3683" t="s">
        <v>1495</v>
      </c>
      <c r="BC17" s="3683" t="s">
        <v>1346</v>
      </c>
      <c r="BE17" s="3683">
        <v>2015</v>
      </c>
      <c r="BH17" s="3684" t="s">
        <v>1434</v>
      </c>
      <c r="BJ17" s="3690" t="s">
        <v>1496</v>
      </c>
      <c r="BL17" s="3690" t="s">
        <v>1496</v>
      </c>
      <c r="BN17" s="3684" t="s">
        <v>1497</v>
      </c>
      <c r="BR17" s="483" t="s">
        <v>1288</v>
      </c>
      <c r="BU17" s="483" t="s">
        <v>1498</v>
      </c>
      <c r="BX17" s="483" t="s">
        <v>1499</v>
      </c>
      <c r="CA17" s="483" t="s">
        <v>1500</v>
      </c>
      <c r="CD17" s="483" t="s">
        <v>1501</v>
      </c>
    </row>
    <row customHeight="1" ht="21">
      <c r="A18" s="286" t="s">
        <v>1502</v>
      </c>
      <c r="B18" s="3673">
        <v>2016</v>
      </c>
      <c r="E18" s="523" t="s">
        <v>1503</v>
      </c>
      <c r="I18" s="3674" t="s">
        <v>1504</v>
      </c>
      <c r="N18" s="520" t="s">
        <v>1505</v>
      </c>
      <c r="AW18" s="3683" t="s">
        <v>1492</v>
      </c>
      <c r="AX18" s="3683" t="s">
        <v>1492</v>
      </c>
      <c r="BB18" s="3683" t="s">
        <v>1506</v>
      </c>
      <c r="BC18" s="3683" t="s">
        <v>1346</v>
      </c>
      <c r="BE18" s="3683">
        <v>2016</v>
      </c>
      <c r="BH18" s="3684" t="s">
        <v>1448</v>
      </c>
      <c r="BJ18" s="3690" t="s">
        <v>1507</v>
      </c>
      <c r="BL18" s="3690" t="s">
        <v>1507</v>
      </c>
      <c r="BN18" s="3684" t="s">
        <v>1508</v>
      </c>
      <c r="BQ18" s="3685" t="s">
        <v>1318</v>
      </c>
      <c r="BR18" s="3681" t="s">
        <v>1319</v>
      </c>
      <c r="BT18" s="3685" t="s">
        <v>1509</v>
      </c>
      <c r="BU18" s="3681" t="s">
        <v>1510</v>
      </c>
      <c r="BW18" s="3685" t="s">
        <v>1511</v>
      </c>
      <c r="BX18" s="3681" t="s">
        <v>1512</v>
      </c>
      <c r="BZ18" s="3685" t="s">
        <v>1513</v>
      </c>
      <c r="CA18" s="3681" t="s">
        <v>1514</v>
      </c>
      <c r="CC18" s="3685" t="s">
        <v>1515</v>
      </c>
      <c r="CD18" s="3681" t="s">
        <v>1516</v>
      </c>
    </row>
    <row customHeight="1" ht="21">
      <c r="A19" s="521" t="s">
        <v>1517</v>
      </c>
      <c r="B19" s="3673">
        <v>2017</v>
      </c>
      <c r="E19" s="286" t="s">
        <v>182</v>
      </c>
      <c r="I19" s="3674" t="s">
        <v>1518</v>
      </c>
      <c r="N19" s="520" t="s">
        <v>1519</v>
      </c>
      <c r="AW19" s="3683" t="s">
        <v>1504</v>
      </c>
      <c r="AX19" s="3683" t="s">
        <v>1504</v>
      </c>
      <c r="AZ19" s="483" t="s">
        <v>1520</v>
      </c>
      <c r="BB19" s="3683" t="s">
        <v>1521</v>
      </c>
      <c r="BC19" s="3683" t="s">
        <v>1346</v>
      </c>
      <c r="BE19" s="3683">
        <v>2017</v>
      </c>
      <c r="BH19" s="3684" t="s">
        <v>1522</v>
      </c>
      <c r="BJ19" s="3690" t="s">
        <v>1523</v>
      </c>
      <c r="BL19" s="3690" t="s">
        <v>1523</v>
      </c>
      <c r="BQ19" s="3683">
        <v>4190064</v>
      </c>
      <c r="BR19" s="3684" t="s">
        <v>1524</v>
      </c>
      <c r="BT19" s="3683">
        <v>4189671</v>
      </c>
      <c r="BU19" s="3684" t="s">
        <v>1525</v>
      </c>
      <c r="BW19" s="3683">
        <v>4189706</v>
      </c>
      <c r="BX19" s="3684" t="s">
        <v>1526</v>
      </c>
      <c r="BZ19" s="3683">
        <v>4189714</v>
      </c>
      <c r="CA19" s="3684" t="s">
        <v>1527</v>
      </c>
      <c r="CC19" s="3683">
        <v>4189708</v>
      </c>
      <c r="CD19" s="3684" t="s">
        <v>1528</v>
      </c>
    </row>
    <row customHeight="1" ht="21">
      <c r="A20" s="286" t="s">
        <v>1529</v>
      </c>
      <c r="B20" s="3673">
        <v>2018</v>
      </c>
      <c r="E20" s="286" t="s">
        <v>1277</v>
      </c>
      <c r="I20" s="3674" t="s">
        <v>1530</v>
      </c>
      <c r="N20" s="520" t="s">
        <v>1531</v>
      </c>
      <c r="AW20" s="3683" t="s">
        <v>1518</v>
      </c>
      <c r="AX20" s="3683" t="s">
        <v>1518</v>
      </c>
      <c r="AZ20" s="3683" t="s">
        <v>1532</v>
      </c>
      <c r="BB20" s="3683" t="s">
        <v>1533</v>
      </c>
      <c r="BC20" s="3683" t="s">
        <v>1463</v>
      </c>
      <c r="BE20" s="3683">
        <v>2018</v>
      </c>
      <c r="BH20" s="3684" t="s">
        <v>1459</v>
      </c>
      <c r="BJ20" s="3684" t="s">
        <v>1386</v>
      </c>
      <c r="BL20" s="3684" t="s">
        <v>1386</v>
      </c>
      <c r="BQ20" s="3683">
        <v>4190065</v>
      </c>
      <c r="BR20" s="3684" t="s">
        <v>1534</v>
      </c>
      <c r="BT20" s="3683">
        <v>4189672</v>
      </c>
      <c r="BU20" s="3684" t="s">
        <v>1535</v>
      </c>
      <c r="BW20" s="3683">
        <v>4189705</v>
      </c>
      <c r="BX20" s="3684" t="s">
        <v>1536</v>
      </c>
      <c r="BZ20" s="3683">
        <v>4189713</v>
      </c>
      <c r="CA20" s="3684" t="s">
        <v>1536</v>
      </c>
      <c r="CC20" s="3683">
        <v>4189709</v>
      </c>
      <c r="CD20" s="3684" t="s">
        <v>1537</v>
      </c>
    </row>
    <row customHeight="1" ht="21">
      <c r="A21" s="286" t="s">
        <v>1538</v>
      </c>
      <c r="B21" s="3673">
        <v>2019</v>
      </c>
      <c r="I21" s="3674" t="s">
        <v>1539</v>
      </c>
      <c r="N21" s="520" t="s">
        <v>1540</v>
      </c>
      <c r="AW21" s="3683" t="s">
        <v>1530</v>
      </c>
      <c r="AX21" s="3683" t="s">
        <v>1530</v>
      </c>
      <c r="AZ21" s="3683" t="s">
        <v>1541</v>
      </c>
      <c r="BB21" s="3683" t="s">
        <v>1542</v>
      </c>
      <c r="BC21" s="3683" t="s">
        <v>1346</v>
      </c>
      <c r="BE21" s="3683">
        <v>2019</v>
      </c>
      <c r="BH21" s="3684" t="s">
        <v>1466</v>
      </c>
      <c r="BJ21" s="3684" t="s">
        <v>1402</v>
      </c>
      <c r="BL21" s="3684" t="s">
        <v>1402</v>
      </c>
      <c r="BQ21" s="3683">
        <v>4190066</v>
      </c>
      <c r="BR21" s="3684" t="s">
        <v>1543</v>
      </c>
      <c r="BT21" s="3683">
        <v>4189673</v>
      </c>
      <c r="BU21" s="3684" t="s">
        <v>1544</v>
      </c>
      <c r="BW21" s="3683">
        <v>4189707</v>
      </c>
      <c r="BX21" s="3684" t="s">
        <v>1545</v>
      </c>
      <c r="BZ21" s="3683">
        <v>4189712</v>
      </c>
      <c r="CA21" s="3684" t="s">
        <v>1546</v>
      </c>
      <c r="CC21" s="3683">
        <v>4189710</v>
      </c>
      <c r="CD21" s="3684" t="s">
        <v>1547</v>
      </c>
    </row>
    <row customHeight="1" ht="21">
      <c r="A22" s="286" t="s">
        <v>1548</v>
      </c>
      <c r="B22" s="3673">
        <v>2020</v>
      </c>
      <c r="N22" s="520" t="s">
        <v>1549</v>
      </c>
      <c r="AW22" s="3683" t="s">
        <v>1539</v>
      </c>
      <c r="AX22" s="3683" t="s">
        <v>1539</v>
      </c>
      <c r="AZ22" s="3683" t="s">
        <v>1550</v>
      </c>
      <c r="BB22" s="3683" t="s">
        <v>1551</v>
      </c>
      <c r="BC22" s="3683" t="s">
        <v>1346</v>
      </c>
      <c r="BE22" s="3683">
        <v>2020</v>
      </c>
      <c r="BH22" s="3684" t="s">
        <v>1473</v>
      </c>
      <c r="BJ22" s="3684" t="s">
        <v>1418</v>
      </c>
      <c r="BL22" s="3684" t="s">
        <v>1418</v>
      </c>
      <c r="BQ22" s="3683">
        <v>4190067</v>
      </c>
      <c r="BR22" s="3684" t="s">
        <v>1552</v>
      </c>
      <c r="BT22" s="3683">
        <v>4189674</v>
      </c>
      <c r="BU22" s="3684" t="s">
        <v>1553</v>
      </c>
      <c r="CC22" s="3683">
        <v>4189711</v>
      </c>
      <c r="CD22" s="3684" t="s">
        <v>308</v>
      </c>
    </row>
    <row customHeight="1" ht="21">
      <c r="A23" s="286" t="s">
        <v>1554</v>
      </c>
      <c r="B23" s="3673">
        <v>2021</v>
      </c>
      <c r="AW23" s="3683" t="s">
        <v>1555</v>
      </c>
      <c r="AX23" s="3683" t="s">
        <v>1555</v>
      </c>
      <c r="AZ23" s="3683" t="s">
        <v>1556</v>
      </c>
      <c r="BB23" s="3683" t="s">
        <v>1557</v>
      </c>
      <c r="BC23" s="3683" t="s">
        <v>1254</v>
      </c>
      <c r="BE23" s="3683">
        <v>2021</v>
      </c>
      <c r="BH23" s="3684" t="s">
        <v>1481</v>
      </c>
      <c r="BJ23" s="3684" t="s">
        <v>1434</v>
      </c>
      <c r="BL23" s="3684" t="s">
        <v>1434</v>
      </c>
      <c r="BQ23" s="3683">
        <v>4190068</v>
      </c>
      <c r="BR23" s="3684" t="s">
        <v>1558</v>
      </c>
      <c r="BT23" s="3683">
        <v>4189675</v>
      </c>
      <c r="BU23" s="3684" t="s">
        <v>1559</v>
      </c>
      <c r="CC23" s="3683">
        <v>5110778</v>
      </c>
      <c r="CD23" s="3684" t="s">
        <v>1560</v>
      </c>
    </row>
    <row customHeight="1" ht="21">
      <c r="A24" s="286" t="s">
        <v>1561</v>
      </c>
      <c r="B24" s="3673">
        <v>2022</v>
      </c>
      <c r="AW24" s="3683" t="s">
        <v>1562</v>
      </c>
      <c r="AX24" s="3683" t="s">
        <v>1562</v>
      </c>
      <c r="AZ24" s="3683" t="s">
        <v>1563</v>
      </c>
      <c r="BB24" s="3683" t="s">
        <v>1564</v>
      </c>
      <c r="BC24" s="3683" t="s">
        <v>1565</v>
      </c>
      <c r="BE24" s="3683">
        <v>2022</v>
      </c>
      <c r="BH24" s="3684" t="s">
        <v>1490</v>
      </c>
      <c r="BJ24" s="3684" t="s">
        <v>1448</v>
      </c>
      <c r="BL24" s="3684" t="s">
        <v>1448</v>
      </c>
      <c r="BQ24" s="3683">
        <v>4190069</v>
      </c>
      <c r="BR24" s="3684" t="s">
        <v>1566</v>
      </c>
      <c r="BT24" s="3683">
        <v>4189676</v>
      </c>
      <c r="BU24" s="3684" t="s">
        <v>1567</v>
      </c>
      <c r="CC24" s="3683">
        <v>25575374</v>
      </c>
      <c r="CD24" s="3684" t="s">
        <v>1568</v>
      </c>
    </row>
    <row customHeight="1" ht="11.25">
      <c r="A25" s="286" t="s">
        <v>1569</v>
      </c>
      <c r="B25" s="3673">
        <v>2023</v>
      </c>
      <c r="AW25" s="3683" t="s">
        <v>1570</v>
      </c>
      <c r="AX25" s="3683" t="s">
        <v>1570</v>
      </c>
      <c r="AZ25" s="3683" t="s">
        <v>1571</v>
      </c>
      <c r="BB25" s="3683" t="s">
        <v>1572</v>
      </c>
      <c r="BC25" s="3683" t="s">
        <v>1565</v>
      </c>
      <c r="BE25" s="3683">
        <v>2023</v>
      </c>
      <c r="BH25" s="3684" t="s">
        <v>1497</v>
      </c>
      <c r="BJ25" s="3684" t="s">
        <v>1522</v>
      </c>
      <c r="BL25" s="3684" t="s">
        <v>1522</v>
      </c>
      <c r="BQ25" s="3683">
        <v>4190070</v>
      </c>
      <c r="BR25" s="3684" t="s">
        <v>1573</v>
      </c>
      <c r="BT25" s="3683">
        <v>4189677</v>
      </c>
      <c r="BU25" s="3684" t="s">
        <v>1574</v>
      </c>
    </row>
    <row customHeight="1" ht="11.25">
      <c r="A26" s="286" t="s">
        <v>1575</v>
      </c>
      <c r="B26" s="3673">
        <v>2024</v>
      </c>
      <c r="J26" s="524" t="s">
        <v>1576</v>
      </c>
      <c r="AX26" s="3683" t="s">
        <v>1577</v>
      </c>
      <c r="AZ26" s="3683" t="s">
        <v>1441</v>
      </c>
      <c r="BB26" s="3683" t="s">
        <v>1578</v>
      </c>
      <c r="BC26" s="3683" t="s">
        <v>1565</v>
      </c>
      <c r="BE26" s="3683">
        <v>2024</v>
      </c>
      <c r="BH26" s="3684" t="s">
        <v>1508</v>
      </c>
      <c r="BJ26" s="3684" t="s">
        <v>1459</v>
      </c>
      <c r="BL26" s="3684" t="s">
        <v>1459</v>
      </c>
      <c r="BQ26" s="3683">
        <v>4190071</v>
      </c>
      <c r="BR26" s="3684" t="s">
        <v>1579</v>
      </c>
    </row>
    <row customHeight="1" ht="11.25">
      <c r="A27" s="286" t="s">
        <v>1580</v>
      </c>
      <c r="B27" s="3673">
        <v>2025</v>
      </c>
      <c r="J27" s="3693" t="s">
        <v>119</v>
      </c>
      <c r="AX27" s="3683" t="s">
        <v>1581</v>
      </c>
      <c r="BB27" s="3683" t="s">
        <v>1582</v>
      </c>
      <c r="BC27" s="3683" t="s">
        <v>1565</v>
      </c>
      <c r="BE27" s="3683">
        <v>2025</v>
      </c>
      <c r="BH27" s="3399" t="s">
        <v>22</v>
      </c>
      <c r="BJ27" s="3684" t="s">
        <v>1466</v>
      </c>
      <c r="BL27" s="3684" t="s">
        <v>1466</v>
      </c>
      <c r="BN27" s="3399" t="s">
        <v>22</v>
      </c>
      <c r="BQ27" s="3683">
        <v>4190072</v>
      </c>
      <c r="BR27" s="3684" t="s">
        <v>1583</v>
      </c>
    </row>
    <row customHeight="1" ht="11.25">
      <c r="A28" s="286" t="s">
        <v>1584</v>
      </c>
      <c r="E28" s="526"/>
      <c r="F28" s="526"/>
      <c r="H28" s="240" t="s">
        <v>1585</v>
      </c>
      <c r="AX28" s="3683" t="s">
        <v>1586</v>
      </c>
      <c r="AZ28" s="483" t="s">
        <v>1587</v>
      </c>
      <c r="BB28" s="3683" t="s">
        <v>1588</v>
      </c>
      <c r="BC28" s="3683" t="s">
        <v>1589</v>
      </c>
      <c r="BE28" s="3683">
        <v>2026</v>
      </c>
      <c r="BH28" s="3399" t="s">
        <v>22</v>
      </c>
      <c r="BJ28" s="3684" t="s">
        <v>1473</v>
      </c>
      <c r="BL28" s="3684" t="s">
        <v>1473</v>
      </c>
      <c r="BN28" s="3399" t="s">
        <v>22</v>
      </c>
      <c r="BQ28" s="3683">
        <v>4190073</v>
      </c>
      <c r="BR28" s="3684" t="s">
        <v>1590</v>
      </c>
    </row>
    <row customHeight="1" ht="11.25">
      <c r="A29" s="286" t="s">
        <v>1591</v>
      </c>
      <c r="D29" s="527" t="s">
        <v>1592</v>
      </c>
      <c r="E29" s="3694" t="str">
        <f>IF(TEMPLATE_GROUP="","",INDEX(StartDateList,MATCH(TEMPLATE_GROUP,CodeTemplateList,0),1))</f>
        <v>01.01.2023</v>
      </c>
      <c r="F29" s="3694" t="str">
        <f>IF(TEMPLATE_GROUP="","",INDEX(EndDateList,MATCH(TEMPLATE_GROUP,CodeTemplateList,0),1))</f>
        <v>31.12.2023</v>
      </c>
      <c r="H29" s="529" t="s">
        <v>1593</v>
      </c>
      <c r="AX29" s="3683" t="s">
        <v>1594</v>
      </c>
      <c r="AZ29" s="3683" t="s">
        <v>1238</v>
      </c>
      <c r="BB29" s="3683" t="s">
        <v>1441</v>
      </c>
      <c r="BE29" s="3683">
        <v>2027</v>
      </c>
      <c r="BJ29" s="3684" t="s">
        <v>1481</v>
      </c>
      <c r="BL29" s="3684" t="s">
        <v>1481</v>
      </c>
    </row>
    <row customHeight="1" ht="11.25">
      <c r="A30" s="286" t="s">
        <v>1595</v>
      </c>
      <c r="AX30" s="3683" t="s">
        <v>1596</v>
      </c>
      <c r="AZ30" s="3683" t="s">
        <v>1266</v>
      </c>
      <c r="BE30" s="3683">
        <v>2028</v>
      </c>
      <c r="BJ30" s="3684" t="s">
        <v>1597</v>
      </c>
      <c r="BL30" s="3684" t="s">
        <v>1597</v>
      </c>
    </row>
    <row customHeight="1" ht="12.75">
      <c r="A31" s="286" t="s">
        <v>1598</v>
      </c>
      <c r="E31" s="526"/>
      <c r="F31" s="526"/>
      <c r="H31" s="3695"/>
      <c r="AX31" s="3683" t="s">
        <v>1599</v>
      </c>
      <c r="AZ31" s="3683" t="s">
        <v>1600</v>
      </c>
      <c r="BE31" s="3683">
        <v>2029</v>
      </c>
      <c r="BJ31" s="3684" t="s">
        <v>1601</v>
      </c>
      <c r="BL31" s="3684" t="s">
        <v>1601</v>
      </c>
    </row>
    <row customHeight="1" ht="11.25">
      <c r="A32" s="286" t="s">
        <v>1602</v>
      </c>
      <c r="D32" s="527" t="s">
        <v>1603</v>
      </c>
      <c r="E32" s="3694" t="str">
        <f>IF(TEMPLATE_GROUP="","",INDEX(StartDateList,MATCH(TEMPLATE_GROUP,CodeTemplateList,0),1))</f>
        <v>01.01.2023</v>
      </c>
      <c r="F32" s="3694" t="str">
        <f>IF(TEMPLATE_GROUP="","",INDEX(EndDateList,MATCH(TEMPLATE_GROUP,CodeTemplateList,0),1))</f>
        <v>31.12.2023</v>
      </c>
      <c r="H32" s="3696" t="s">
        <v>1604</v>
      </c>
      <c r="O32" s="286" t="s">
        <v>1236</v>
      </c>
      <c r="AX32" s="3683" t="s">
        <v>1605</v>
      </c>
      <c r="AZ32" s="3683" t="s">
        <v>1334</v>
      </c>
      <c r="BE32" s="3683">
        <v>2030</v>
      </c>
      <c r="BJ32" s="3684" t="s">
        <v>1490</v>
      </c>
      <c r="BL32" s="3684" t="s">
        <v>1490</v>
      </c>
    </row>
    <row customHeight="1" ht="11.25">
      <c r="A33" s="286" t="s">
        <v>1606</v>
      </c>
      <c r="O33" s="286" t="s">
        <v>1263</v>
      </c>
      <c r="AX33" s="3683" t="s">
        <v>1607</v>
      </c>
      <c r="AZ33" s="3683" t="s">
        <v>1237</v>
      </c>
      <c r="BE33" s="3683">
        <v>2031</v>
      </c>
      <c r="BJ33" s="3684" t="s">
        <v>1497</v>
      </c>
      <c r="BL33" s="3684" t="s">
        <v>1497</v>
      </c>
    </row>
    <row customHeight="1" ht="11.25">
      <c r="A34" s="286" t="s">
        <v>1608</v>
      </c>
      <c r="O34" s="286" t="s">
        <v>1299</v>
      </c>
      <c r="AX34" s="3683" t="s">
        <v>1609</v>
      </c>
      <c r="BE34" s="3683">
        <v>2032</v>
      </c>
      <c r="BJ34" s="3684" t="s">
        <v>1508</v>
      </c>
      <c r="BL34" s="3684" t="s">
        <v>1508</v>
      </c>
    </row>
    <row customHeight="1" ht="11.25">
      <c r="A35" s="286" t="s">
        <v>1610</v>
      </c>
      <c r="O35" s="286" t="s">
        <v>1332</v>
      </c>
      <c r="AX35" s="3683" t="s">
        <v>1611</v>
      </c>
      <c r="AZ35" s="483" t="s">
        <v>1612</v>
      </c>
      <c r="BE35" s="3683">
        <v>2033</v>
      </c>
      <c r="BL35" s="3684" t="s">
        <v>1613</v>
      </c>
    </row>
    <row customHeight="1" ht="11.25">
      <c r="A36" s="521" t="s">
        <v>1614</v>
      </c>
      <c r="D36" s="532" t="s">
        <v>1615</v>
      </c>
      <c r="E36" s="533" t="s">
        <v>916</v>
      </c>
      <c r="F36" s="3682" t="str">
        <f>INDEX(E37:E41,MATCH(TEMPLATE_SPHERE,F37:F41,0))</f>
        <v>горячего водоснабжения</v>
      </c>
      <c r="G36" s="3682" t="str">
        <f>INDEX(G37:G41,MATCH(TEMPLATE_SPHERE,F37:F41,0))</f>
        <v>горячее водоснабжение</v>
      </c>
      <c r="O36" s="286" t="s">
        <v>1357</v>
      </c>
      <c r="AX36" s="3683" t="s">
        <v>1616</v>
      </c>
      <c r="AZ36" s="3683" t="s">
        <v>1237</v>
      </c>
      <c r="BE36" s="3683">
        <v>2034</v>
      </c>
      <c r="BL36" s="3684" t="s">
        <v>1617</v>
      </c>
    </row>
    <row customHeight="1" ht="11.25">
      <c r="A37" s="286" t="s">
        <v>1618</v>
      </c>
      <c r="E37" s="3697" t="s">
        <v>1619</v>
      </c>
      <c r="F37" s="535" t="s">
        <v>830</v>
      </c>
      <c r="G37" s="3697" t="s">
        <v>1620</v>
      </c>
      <c r="O37" s="286" t="s">
        <v>1376</v>
      </c>
      <c r="AX37" s="3683" t="s">
        <v>1621</v>
      </c>
      <c r="AZ37" s="3683" t="s">
        <v>1265</v>
      </c>
      <c r="BE37" s="3683">
        <v>2035</v>
      </c>
    </row>
    <row customHeight="1" ht="11.25">
      <c r="A38" s="286" t="s">
        <v>1622</v>
      </c>
      <c r="E38" s="3697" t="s">
        <v>1623</v>
      </c>
      <c r="F38" s="536" t="s">
        <v>876</v>
      </c>
      <c r="G38" s="3697" t="s">
        <v>1624</v>
      </c>
      <c r="O38" s="286" t="s">
        <v>1393</v>
      </c>
      <c r="AX38" s="3683" t="s">
        <v>1625</v>
      </c>
      <c r="AZ38" s="3683" t="s">
        <v>1300</v>
      </c>
      <c r="BE38" s="3683">
        <v>2036</v>
      </c>
      <c r="BH38" s="483" t="s">
        <v>1626</v>
      </c>
      <c r="BJ38" s="483" t="s">
        <v>1627</v>
      </c>
      <c r="BL38" s="483" t="s">
        <v>1628</v>
      </c>
      <c r="BN38" s="483" t="s">
        <v>1629</v>
      </c>
    </row>
    <row customHeight="1" ht="11.25">
      <c r="A39" s="286" t="s">
        <v>1630</v>
      </c>
      <c r="E39" s="3697" t="s">
        <v>1631</v>
      </c>
      <c r="F39" s="536" t="s">
        <v>930</v>
      </c>
      <c r="G39" s="3697" t="s">
        <v>1632</v>
      </c>
      <c r="O39" s="286" t="s">
        <v>1409</v>
      </c>
      <c r="AX39" s="3683" t="s">
        <v>1633</v>
      </c>
      <c r="AZ39" s="3683" t="s">
        <v>1333</v>
      </c>
      <c r="BE39" s="3683">
        <v>2037</v>
      </c>
      <c r="BH39" s="3684" t="s">
        <v>1634</v>
      </c>
      <c r="BJ39" s="3690" t="s">
        <v>1634</v>
      </c>
      <c r="BL39" s="3690" t="s">
        <v>1634</v>
      </c>
      <c r="BN39" s="3684" t="s">
        <v>1635</v>
      </c>
    </row>
    <row customHeight="1" ht="11.25">
      <c r="A40" s="286" t="s">
        <v>1636</v>
      </c>
      <c r="E40" s="3697" t="s">
        <v>1637</v>
      </c>
      <c r="F40" s="536" t="s">
        <v>916</v>
      </c>
      <c r="G40" s="3697" t="s">
        <v>1638</v>
      </c>
      <c r="O40" s="286" t="s">
        <v>1425</v>
      </c>
      <c r="AX40" s="3683" t="s">
        <v>1639</v>
      </c>
      <c r="BE40" s="3683">
        <v>2038</v>
      </c>
      <c r="BH40" s="3684" t="s">
        <v>1640</v>
      </c>
      <c r="BJ40" s="3690" t="s">
        <v>1050</v>
      </c>
      <c r="BL40" s="3690" t="s">
        <v>1050</v>
      </c>
      <c r="BN40" s="3684" t="s">
        <v>1084</v>
      </c>
    </row>
    <row customHeight="1" ht="11.25">
      <c r="A41" s="286" t="s">
        <v>1641</v>
      </c>
      <c r="E41" s="3697" t="s">
        <v>1642</v>
      </c>
      <c r="F41" s="536" t="s">
        <v>1643</v>
      </c>
      <c r="G41" s="3697" t="s">
        <v>1642</v>
      </c>
      <c r="O41" s="286" t="s">
        <v>1441</v>
      </c>
      <c r="AX41" s="3683" t="s">
        <v>1644</v>
      </c>
      <c r="AZ41" s="483" t="s">
        <v>1645</v>
      </c>
      <c r="BE41" s="3683">
        <v>2039</v>
      </c>
      <c r="BH41" s="3684" t="s">
        <v>1646</v>
      </c>
      <c r="BJ41" s="3690" t="s">
        <v>1046</v>
      </c>
      <c r="BL41" s="3690" t="s">
        <v>1046</v>
      </c>
      <c r="BN41" s="3684" t="s">
        <v>1071</v>
      </c>
    </row>
    <row customHeight="1" ht="11.25">
      <c r="A42" s="286" t="s">
        <v>1647</v>
      </c>
      <c r="AX42" s="3683" t="s">
        <v>1648</v>
      </c>
      <c r="AZ42" s="3683" t="s">
        <v>1236</v>
      </c>
      <c r="BE42" s="3683">
        <v>2040</v>
      </c>
      <c r="BH42" s="3684" t="s">
        <v>1068</v>
      </c>
      <c r="BJ42" s="3690" t="s">
        <v>1048</v>
      </c>
      <c r="BL42" s="3690" t="s">
        <v>1048</v>
      </c>
      <c r="BN42" s="3684" t="s">
        <v>1649</v>
      </c>
    </row>
    <row customHeight="1" ht="11.25">
      <c r="A43" s="286" t="s">
        <v>1650</v>
      </c>
      <c r="AX43" s="3683" t="s">
        <v>1651</v>
      </c>
      <c r="AZ43" s="3683" t="s">
        <v>1263</v>
      </c>
      <c r="BE43" s="3683">
        <v>2041</v>
      </c>
      <c r="BH43" s="3684" t="s">
        <v>1652</v>
      </c>
      <c r="BJ43" s="3690" t="s">
        <v>1646</v>
      </c>
      <c r="BL43" s="3690" t="s">
        <v>1646</v>
      </c>
      <c r="BN43" s="3684" t="s">
        <v>1653</v>
      </c>
    </row>
    <row customHeight="1" ht="11.25">
      <c r="A44" s="286" t="s">
        <v>1654</v>
      </c>
      <c r="G44" s="3698">
        <f>YEAR(TODAY())</f>
        <v>2024</v>
      </c>
      <c r="I44" s="538" t="s">
        <v>1655</v>
      </c>
      <c r="J44" s="517" t="s">
        <v>1656</v>
      </c>
      <c r="K44" s="517" t="s">
        <v>1657</v>
      </c>
      <c r="AX44" s="3683" t="s">
        <v>1658</v>
      </c>
      <c r="AZ44" s="3683" t="s">
        <v>1299</v>
      </c>
      <c r="BE44" s="3683">
        <v>2042</v>
      </c>
      <c r="BH44" s="3684" t="s">
        <v>1659</v>
      </c>
      <c r="BJ44" s="3690" t="s">
        <v>1068</v>
      </c>
      <c r="BL44" s="3690" t="s">
        <v>1068</v>
      </c>
      <c r="BN44" s="3684" t="s">
        <v>1660</v>
      </c>
    </row>
    <row customHeight="1" ht="11.25">
      <c r="A45" s="286" t="s">
        <v>1661</v>
      </c>
      <c r="D45" s="532" t="s">
        <v>1662</v>
      </c>
      <c r="E45" s="533" t="s">
        <v>1663</v>
      </c>
      <c r="F45" s="484" t="s">
        <v>1664</v>
      </c>
      <c r="G45" s="539" t="s">
        <v>1665</v>
      </c>
      <c r="H45" s="538" t="s">
        <v>1666</v>
      </c>
      <c r="I45" s="3699">
        <f>INDEX(PeriodIsEmptyList,MATCH(TEMPLATE_GROUP,CodeTemplateList,0),1)</f>
        <v>0</v>
      </c>
      <c r="J45" s="370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37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3683" t="s">
        <v>1667</v>
      </c>
      <c r="AZ45" s="3683" t="s">
        <v>1332</v>
      </c>
      <c r="BE45" s="3683">
        <v>2043</v>
      </c>
      <c r="BH45" s="3684" t="s">
        <v>1668</v>
      </c>
      <c r="BJ45" s="3690" t="s">
        <v>1062</v>
      </c>
      <c r="BL45" s="3690" t="s">
        <v>1062</v>
      </c>
      <c r="BN45" s="3684" t="s">
        <v>1669</v>
      </c>
    </row>
    <row customHeight="1" ht="11.25">
      <c r="A46" s="286" t="s">
        <v>1670</v>
      </c>
      <c r="E46" s="3697" t="s">
        <v>27</v>
      </c>
      <c r="F46" s="535" t="s">
        <v>1671</v>
      </c>
      <c r="G46" s="3701" t="str">
        <f>_xlfn.IFERROR(IF(TITLE_DATE_FIL="","01.01."&amp;CURRENT_YEAR,"01.01."&amp;YEAR(TITLE_DATE_FIL)),"01.01."&amp;CURRENT_YEAR)</f>
        <v>01.01.2024</v>
      </c>
      <c r="H46" s="3701" t="str">
        <f>_xlfn.IFERROR(IF(TITLE_DATE_FIL="","31.12."&amp;CURRENT_YEAR,"31.12."&amp;YEAR(TITLE_DATE_FIL)),"31.12."&amp;CURRENT_YEAR)</f>
        <v>31.12.2024</v>
      </c>
      <c r="I46" s="3702">
        <f>IF(TITLE_DATE_FIL="",TRUE,FALSE)</f>
        <v>1</v>
      </c>
      <c r="J46" s="3703" t="str">
        <f>"Общая информация о регулируемой организации ("&amp;TEMPLATE_SPHERE_RUS&amp;")"</f>
        <v>Общая информация о регулируемой организации (горячего водоснабжения)</v>
      </c>
      <c r="AX46" s="3683" t="s">
        <v>1672</v>
      </c>
      <c r="AZ46" s="3683" t="s">
        <v>1357</v>
      </c>
      <c r="BE46" s="3683">
        <v>2044</v>
      </c>
      <c r="BH46" s="3684" t="s">
        <v>1071</v>
      </c>
      <c r="BJ46" s="3690" t="s">
        <v>1052</v>
      </c>
      <c r="BL46" s="3690" t="s">
        <v>1052</v>
      </c>
      <c r="BN46" s="3684" t="s">
        <v>1673</v>
      </c>
    </row>
    <row customHeight="1" ht="11.25">
      <c r="A47" s="286" t="s">
        <v>1674</v>
      </c>
      <c r="E47" s="3697" t="s">
        <v>33</v>
      </c>
      <c r="F47" s="536" t="s">
        <v>1675</v>
      </c>
      <c r="G47" s="3701" t="str">
        <f>_xlfn.IFERROR(IF(f_year="","01.01."&amp;CURRENT_YEAR,IF(LEN(f_quart)=0,"01.01."&amp;f_year,IF(f_quart="I квартал","01.01."&amp;f_year,IF(f_quart="II квартал","01.04."&amp;f_year,(IF(f_quart="III квартал","01.07."&amp;f_year,"01.10."&amp;f_year)))))),"01.01."&amp;CURRENT_YEAR)</f>
        <v>01.01.2023</v>
      </c>
      <c r="H47" s="3701" t="str">
        <f>_xlfn.IFERROR(IF(f_year="","31.12."&amp;CURRENT_YEAR,IF(LEN(f_quart)=0,"31.12."&amp;f_year,IF(f_quart="I квартал","31.03."&amp;f_year,IF(f_quart="II квартал","30.06."&amp;f_year,(IF(f_quart="III квартал","30.09."&amp;f_year,"31.12."&amp;f_year)))))),"31.12."&amp;CURRENT_YEAR)</f>
        <v>31.12.2023</v>
      </c>
      <c r="I47" s="3704">
        <f>IF(OR(f_year="",f_quart=""),TRUE,FALSE)</f>
        <v>1</v>
      </c>
      <c r="J47" s="370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AX47" s="3683" t="s">
        <v>1676</v>
      </c>
      <c r="AZ47" s="3683" t="s">
        <v>1376</v>
      </c>
      <c r="BE47" s="3683">
        <v>2045</v>
      </c>
      <c r="BH47" s="3684" t="s">
        <v>1649</v>
      </c>
      <c r="BJ47" s="3690" t="s">
        <v>1054</v>
      </c>
      <c r="BL47" s="3690" t="s">
        <v>1054</v>
      </c>
      <c r="BN47" s="3684" t="s">
        <v>1677</v>
      </c>
    </row>
    <row customHeight="1" ht="11.25">
      <c r="A48" s="286" t="s">
        <v>1678</v>
      </c>
      <c r="E48" s="3697" t="s">
        <v>1679</v>
      </c>
      <c r="F48" s="536" t="s">
        <v>1663</v>
      </c>
      <c r="G48" s="3701" t="str">
        <f>_xlfn.IFERROR(IF(f_year="","01.01."&amp;CURRENT_YEAR,"01.01."&amp;f_year),"01.01."&amp;CURRENT_YEAR)</f>
        <v>01.01.2023</v>
      </c>
      <c r="H48" s="3701" t="str">
        <f>_xlfn.IFERROR(IF(f_year="","31.12."&amp;CURRENT_YEAR,"31.12."&amp;f_year),"31.12."&amp;CURRENT_YEAR)</f>
        <v>31.12.2023</v>
      </c>
      <c r="I48" s="3702">
        <f>IF(f_year="",TRUE,FALSE)</f>
        <v>0</v>
      </c>
      <c r="J48" s="3703" t="s">
        <v>1680</v>
      </c>
      <c r="AX48" s="3683" t="s">
        <v>1681</v>
      </c>
      <c r="AZ48" s="3683" t="s">
        <v>1393</v>
      </c>
      <c r="BE48" s="3683">
        <v>2046</v>
      </c>
      <c r="BH48" s="3684" t="s">
        <v>1653</v>
      </c>
      <c r="BJ48" s="3690" t="s">
        <v>1056</v>
      </c>
      <c r="BL48" s="3690" t="s">
        <v>1056</v>
      </c>
      <c r="BN48" s="3684" t="s">
        <v>1682</v>
      </c>
    </row>
    <row customHeight="1" ht="11.25">
      <c r="A49" s="286" t="s">
        <v>1683</v>
      </c>
      <c r="E49" s="3697" t="s">
        <v>1684</v>
      </c>
      <c r="F49" s="536" t="s">
        <v>1685</v>
      </c>
      <c r="G49" s="3701" t="str">
        <f>_xlfn.IFERROR(IF(f_year="","01.01."&amp;CURRENT_YEAR,"01.01."&amp;f_year),"01.01."&amp;CURRENT_YEAR)</f>
        <v>01.01.2023</v>
      </c>
      <c r="H49" s="3701" t="str">
        <f>_xlfn.IFERROR(IF(f_year="","31.12."&amp;CURRENT_YEAR,"31.12."&amp;f_year),"31.12."&amp;CURRENT_YEAR)</f>
        <v>31.12.2023</v>
      </c>
      <c r="I49" s="3702">
        <f>IF(f_year="",TRUE,FALSE)</f>
        <v>0</v>
      </c>
      <c r="J49" s="370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AX49" s="3683" t="s">
        <v>1686</v>
      </c>
      <c r="AZ49" s="3683" t="s">
        <v>1409</v>
      </c>
      <c r="BE49" s="3683">
        <v>2047</v>
      </c>
      <c r="BH49" s="3684" t="s">
        <v>1072</v>
      </c>
      <c r="BJ49" s="3690" t="s">
        <v>1058</v>
      </c>
      <c r="BL49" s="3690" t="s">
        <v>1058</v>
      </c>
    </row>
    <row customHeight="1" ht="11.25">
      <c r="A50" s="286" t="s">
        <v>1687</v>
      </c>
      <c r="E50" s="3697" t="s">
        <v>1688</v>
      </c>
      <c r="F50" s="536" t="s">
        <v>1042</v>
      </c>
      <c r="G50" s="3701" t="str">
        <f>_xlfn.IFERROR(IF(f_year="","01.01."&amp;CURRENT_YEAR,"01.01."&amp;f_year),"01.01."&amp;CURRENT_YEAR)</f>
        <v>01.01.2023</v>
      </c>
      <c r="H50" s="3701" t="str">
        <f>_xlfn.IFERROR(IF(f_year="","31.12."&amp;CURRENT_YEAR,"31.12."&amp;f_year),"31.12."&amp;CURRENT_YEAR)</f>
        <v>31.12.2023</v>
      </c>
      <c r="I50" s="3702">
        <f>IF(f_year="",TRUE,FALSE)</f>
        <v>0</v>
      </c>
      <c r="J50" s="370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AX50" s="3683" t="s">
        <v>1689</v>
      </c>
      <c r="AZ50" s="3683" t="s">
        <v>1425</v>
      </c>
      <c r="BE50" s="3683">
        <v>2048</v>
      </c>
      <c r="BH50" s="3684" t="s">
        <v>1660</v>
      </c>
      <c r="BJ50" s="3690" t="s">
        <v>1060</v>
      </c>
      <c r="BL50" s="3690" t="s">
        <v>1060</v>
      </c>
    </row>
    <row customHeight="1" ht="11.25">
      <c r="A51" s="286" t="s">
        <v>1690</v>
      </c>
      <c r="E51" s="3697" t="s">
        <v>1691</v>
      </c>
      <c r="F51" s="536" t="s">
        <v>1692</v>
      </c>
      <c r="G51" s="3701" t="str">
        <f>_xlfn.IFERROR(IF(TITLE_PERIOD_START="","01.01."&amp;CURRENT_YEAR,"01.01."&amp;YEAR(TITLE_PERIOD_START)),"01.01."&amp;CURRENT_YEAR)</f>
        <v>01.01.2024</v>
      </c>
      <c r="H51" s="3701" t="str">
        <f>_xlfn.IFERROR(IF(TITLE_PERIOD_END="","31.12."&amp;CURRENT_YEAR,"31.12."&amp;YEAR(TITLE_PERIOD_END)),"31.12."&amp;CURRENT_YEAR)</f>
        <v>31.12.2024</v>
      </c>
      <c r="I51" s="3704">
        <f>IF(OR(TITLE_PERIOD_START="",TITLE_PERIOD_END=""),TRUE,FALSE)</f>
        <v>1</v>
      </c>
      <c r="J51" s="370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3683" t="s">
        <v>1693</v>
      </c>
      <c r="AZ51" s="3683" t="s">
        <v>1441</v>
      </c>
      <c r="BE51" s="3683">
        <v>2049</v>
      </c>
      <c r="BH51" s="3684" t="s">
        <v>1669</v>
      </c>
      <c r="BJ51" s="3690" t="s">
        <v>1694</v>
      </c>
      <c r="BL51" s="3690" t="s">
        <v>1694</v>
      </c>
    </row>
    <row customHeight="1" ht="11.25">
      <c r="A52" s="286" t="s">
        <v>1695</v>
      </c>
      <c r="E52" s="3697" t="s">
        <v>1696</v>
      </c>
      <c r="F52" s="536" t="s">
        <v>1697</v>
      </c>
      <c r="G52" s="3701" t="str">
        <f>_xlfn.IFERROR(IF(TITLE_PERIOD_START="","01.01."&amp;CURRENT_YEAR,"01.01."&amp;YEAR(TITLE_PERIOD_START)),"01.01."&amp;CURRENT_YEAR)</f>
        <v>01.01.2024</v>
      </c>
      <c r="H52" s="3701" t="str">
        <f>_xlfn.IFERROR(IF(TITLE_PERIOD_END="","31.12."&amp;CURRENT_YEAR,"31.12."&amp;YEAR(TITLE_PERIOD_END)),"31.12."&amp;CURRENT_YEAR)</f>
        <v>31.12.2024</v>
      </c>
      <c r="I52" s="3704">
        <f>IF(OR(TITLE_PERIOD_START="",TITLE_PERIOD_END=""),TRUE,FALSE)</f>
        <v>1</v>
      </c>
      <c r="J52" s="370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AX52" s="3683" t="s">
        <v>1698</v>
      </c>
      <c r="AZ52" s="3683" t="s">
        <v>1237</v>
      </c>
      <c r="BE52" s="3683">
        <v>2050</v>
      </c>
      <c r="BH52" s="3684" t="s">
        <v>1673</v>
      </c>
      <c r="BJ52" s="3690" t="s">
        <v>1071</v>
      </c>
      <c r="BL52" s="3690" t="s">
        <v>1071</v>
      </c>
    </row>
    <row customHeight="1" ht="11.25">
      <c r="A53" s="286" t="s">
        <v>1699</v>
      </c>
      <c r="E53" s="3697" t="s">
        <v>1700</v>
      </c>
      <c r="F53" s="536" t="s">
        <v>1700</v>
      </c>
      <c r="G53" s="3701" t="str">
        <f>_xlfn.IFERROR(IF(f_year="","01.01."&amp;CURRENT_YEAR,"01.01."&amp;f_year),"01.01."&amp;CURRENT_YEAR)</f>
        <v>01.01.2023</v>
      </c>
      <c r="H53" s="3701" t="str">
        <f>_xlfn.IFERROR(IF(f_year="","31.12."&amp;CURRENT_YEAR,"31.12."&amp;f_year),"31.12."&amp;CURRENT_YEAR)</f>
        <v>31.12.2023</v>
      </c>
      <c r="I53" s="3702">
        <f>IF(AND(f_year="",TITLE_DATE_FIL=""),TRUE,FALSE)</f>
        <v>0</v>
      </c>
      <c r="J53" s="3703" t="s">
        <v>1701</v>
      </c>
      <c r="AX53" s="3683" t="s">
        <v>1702</v>
      </c>
      <c r="BE53" s="3683">
        <v>2051</v>
      </c>
      <c r="BH53" s="3684" t="s">
        <v>1677</v>
      </c>
      <c r="BJ53" s="3690" t="s">
        <v>1649</v>
      </c>
      <c r="BL53" s="3690" t="s">
        <v>1649</v>
      </c>
    </row>
    <row customHeight="1" ht="11.25">
      <c r="A54" s="286" t="s">
        <v>1703</v>
      </c>
      <c r="AX54" s="3683" t="s">
        <v>1704</v>
      </c>
      <c r="AZ54" s="483" t="s">
        <v>1705</v>
      </c>
      <c r="BE54" s="3683">
        <v>2052</v>
      </c>
      <c r="BH54" s="3684" t="s">
        <v>1682</v>
      </c>
      <c r="BJ54" s="3690" t="s">
        <v>1653</v>
      </c>
      <c r="BL54" s="3690" t="s">
        <v>1653</v>
      </c>
    </row>
    <row customHeight="1" ht="11.25">
      <c r="A55" s="286" t="s">
        <v>1706</v>
      </c>
      <c r="AX55" s="3683" t="s">
        <v>1707</v>
      </c>
      <c r="AZ55" s="3683" t="s">
        <v>1239</v>
      </c>
      <c r="BE55" s="3683">
        <v>2053</v>
      </c>
      <c r="BH55" s="5774" t="s">
        <v>22</v>
      </c>
      <c r="BJ55" s="3690" t="s">
        <v>1072</v>
      </c>
      <c r="BL55" s="3690" t="s">
        <v>1072</v>
      </c>
    </row>
    <row customHeight="1" ht="11.25">
      <c r="A56" s="286" t="s">
        <v>1708</v>
      </c>
      <c r="D56" s="546" t="s">
        <v>1709</v>
      </c>
      <c r="E56" s="517" t="s">
        <v>109</v>
      </c>
      <c r="F56" s="286" t="s">
        <v>1710</v>
      </c>
      <c r="AX56" s="3683" t="s">
        <v>1711</v>
      </c>
      <c r="AZ56" s="3683" t="s">
        <v>1267</v>
      </c>
      <c r="BE56" s="3683">
        <v>2054</v>
      </c>
      <c r="BH56" s="3399" t="s">
        <v>22</v>
      </c>
      <c r="BJ56" s="3690" t="s">
        <v>1660</v>
      </c>
      <c r="BL56" s="3690" t="s">
        <v>1660</v>
      </c>
    </row>
    <row customHeight="1" ht="11.25">
      <c r="A57" s="286" t="s">
        <v>1712</v>
      </c>
      <c r="D57" s="546" t="s">
        <v>1713</v>
      </c>
      <c r="E57" s="517" t="s">
        <v>1714</v>
      </c>
      <c r="F57" s="286" t="s">
        <v>1710</v>
      </c>
      <c r="AX57" s="3683" t="s">
        <v>1715</v>
      </c>
      <c r="AZ57" s="3683" t="s">
        <v>1302</v>
      </c>
      <c r="BE57" s="3683">
        <v>2055</v>
      </c>
      <c r="BJ57" s="3690" t="s">
        <v>1669</v>
      </c>
      <c r="BL57" s="3690" t="s">
        <v>1669</v>
      </c>
    </row>
    <row customHeight="1" ht="11.25">
      <c r="A58" s="286" t="s">
        <v>1716</v>
      </c>
      <c r="D58" s="546" t="s">
        <v>1717</v>
      </c>
      <c r="E58" s="517" t="s">
        <v>109</v>
      </c>
      <c r="F58" s="286" t="s">
        <v>1710</v>
      </c>
      <c r="AX58" s="3683" t="s">
        <v>1718</v>
      </c>
      <c r="BE58" s="3683">
        <v>2056</v>
      </c>
      <c r="BJ58" s="3690" t="s">
        <v>1673</v>
      </c>
      <c r="BL58" s="3690" t="s">
        <v>1673</v>
      </c>
    </row>
    <row customHeight="1" ht="11.25">
      <c r="A59" s="286" t="s">
        <v>1719</v>
      </c>
      <c r="D59" s="546" t="s">
        <v>149</v>
      </c>
      <c r="E59" s="517" t="s">
        <v>1605</v>
      </c>
      <c r="F59" s="286" t="s">
        <v>1720</v>
      </c>
      <c r="AX59" s="3683" t="s">
        <v>1721</v>
      </c>
      <c r="AZ59" s="483" t="s">
        <v>1722</v>
      </c>
      <c r="BE59" s="3683">
        <v>2057</v>
      </c>
      <c r="BJ59" s="3690" t="s">
        <v>1677</v>
      </c>
      <c r="BL59" s="3690" t="s">
        <v>1677</v>
      </c>
    </row>
    <row customHeight="1" ht="11.25">
      <c r="A60" s="286" t="s">
        <v>1723</v>
      </c>
      <c r="D60" s="546" t="s">
        <v>1724</v>
      </c>
      <c r="E60" s="517" t="s">
        <v>1605</v>
      </c>
      <c r="F60" s="286" t="s">
        <v>1720</v>
      </c>
      <c r="AX60" s="3683" t="s">
        <v>1725</v>
      </c>
      <c r="AZ60" s="3683" t="s">
        <v>1240</v>
      </c>
      <c r="BE60" s="3683">
        <v>2058</v>
      </c>
      <c r="BJ60" s="3690" t="s">
        <v>1682</v>
      </c>
      <c r="BL60" s="3690" t="s">
        <v>1682</v>
      </c>
    </row>
    <row customHeight="1" ht="11.25">
      <c r="A61" s="286" t="s">
        <v>1726</v>
      </c>
      <c r="D61" s="546" t="s">
        <v>1727</v>
      </c>
      <c r="E61" s="517" t="s">
        <v>1605</v>
      </c>
      <c r="F61" s="286" t="s">
        <v>1720</v>
      </c>
      <c r="AX61" s="3683" t="s">
        <v>1728</v>
      </c>
      <c r="AZ61" s="3683" t="s">
        <v>1268</v>
      </c>
      <c r="BE61" s="3683">
        <v>2059</v>
      </c>
      <c r="BL61" s="3690" t="s">
        <v>1064</v>
      </c>
    </row>
    <row customHeight="1" ht="11.25">
      <c r="A62" s="286" t="s">
        <v>1729</v>
      </c>
      <c r="D62" s="546" t="s">
        <v>148</v>
      </c>
      <c r="E62" s="517">
        <v>30</v>
      </c>
      <c r="F62" s="286" t="s">
        <v>1720</v>
      </c>
      <c r="AZ62" s="3683" t="s">
        <v>1303</v>
      </c>
      <c r="BE62" s="3683">
        <v>2060</v>
      </c>
      <c r="BL62" s="3690" t="s">
        <v>1066</v>
      </c>
    </row>
    <row customHeight="1" ht="11.25">
      <c r="A63" s="286" t="s">
        <v>1730</v>
      </c>
      <c r="D63" s="546" t="s">
        <v>1731</v>
      </c>
      <c r="E63" s="517">
        <v>30</v>
      </c>
      <c r="F63" s="286" t="s">
        <v>1720</v>
      </c>
      <c r="AZ63" s="3683" t="s">
        <v>1335</v>
      </c>
      <c r="BE63" s="3683">
        <v>2061</v>
      </c>
    </row>
    <row customHeight="1" ht="11.25">
      <c r="A64" s="286" t="s">
        <v>1732</v>
      </c>
      <c r="D64" s="546" t="s">
        <v>1733</v>
      </c>
      <c r="E64" s="517">
        <v>30</v>
      </c>
      <c r="F64" s="286" t="s">
        <v>1720</v>
      </c>
      <c r="AZ64" s="3683" t="s">
        <v>1358</v>
      </c>
      <c r="BE64" s="3683">
        <v>2062</v>
      </c>
    </row>
    <row customHeight="1" ht="11.25">
      <c r="A65" s="286" t="s">
        <v>1734</v>
      </c>
      <c r="BE65" s="3683">
        <v>2063</v>
      </c>
    </row>
    <row customHeight="1" ht="11.25">
      <c r="A66" s="286" t="s">
        <v>1735</v>
      </c>
      <c r="AZ66" s="483" t="s">
        <v>1736</v>
      </c>
      <c r="BE66" s="3683">
        <v>2064</v>
      </c>
    </row>
    <row customHeight="1" ht="11.25">
      <c r="A67" s="286" t="s">
        <v>1737</v>
      </c>
      <c r="AZ67" s="3683" t="s">
        <v>1241</v>
      </c>
      <c r="BE67" s="3683">
        <v>2065</v>
      </c>
    </row>
    <row customHeight="1" ht="11.25">
      <c r="A68" s="286" t="s">
        <v>1738</v>
      </c>
      <c r="AZ68" s="3683" t="s">
        <v>1269</v>
      </c>
      <c r="BE68" s="3683">
        <v>2066</v>
      </c>
      <c r="BH68" s="483" t="s">
        <v>1739</v>
      </c>
      <c r="BJ68" s="483" t="s">
        <v>1740</v>
      </c>
      <c r="BL68" s="483" t="s">
        <v>1741</v>
      </c>
      <c r="BN68" s="483" t="s">
        <v>1742</v>
      </c>
    </row>
    <row customHeight="1" ht="11.25">
      <c r="A69" s="286" t="s">
        <v>1743</v>
      </c>
      <c r="AZ69" s="3683" t="s">
        <v>1304</v>
      </c>
      <c r="BE69" s="3683">
        <v>2067</v>
      </c>
      <c r="BH69" s="3684" t="s">
        <v>1744</v>
      </c>
      <c r="BI69" s="547" t="s">
        <v>107</v>
      </c>
      <c r="BJ69" s="3684" t="s">
        <v>1745</v>
      </c>
      <c r="BK69" s="547" t="s">
        <v>107</v>
      </c>
      <c r="BL69" s="3684" t="s">
        <v>1746</v>
      </c>
      <c r="BM69" s="547" t="s">
        <v>107</v>
      </c>
      <c r="BN69" s="3684" t="s">
        <v>1747</v>
      </c>
    </row>
    <row customHeight="1" ht="11.25">
      <c r="A70" s="286" t="s">
        <v>1748</v>
      </c>
      <c r="AZ70" s="3683" t="s">
        <v>1336</v>
      </c>
      <c r="BE70" s="3683">
        <v>2068</v>
      </c>
      <c r="BH70" s="3684" t="s">
        <v>1749</v>
      </c>
      <c r="BJ70" s="3684" t="s">
        <v>1750</v>
      </c>
      <c r="BL70" s="3684" t="s">
        <v>1751</v>
      </c>
      <c r="BN70" s="3684" t="s">
        <v>1752</v>
      </c>
    </row>
    <row customHeight="1" ht="11.25">
      <c r="A71" s="286" t="s">
        <v>16</v>
      </c>
      <c r="AZ71" s="3683" t="s">
        <v>1338</v>
      </c>
      <c r="BE71" s="3683">
        <v>2069</v>
      </c>
      <c r="BH71" s="3684" t="s">
        <v>1753</v>
      </c>
      <c r="BI71" s="547" t="s">
        <v>88</v>
      </c>
      <c r="BJ71" s="3684" t="s">
        <v>1754</v>
      </c>
      <c r="BK71" s="547" t="s">
        <v>88</v>
      </c>
      <c r="BL71" s="3684" t="s">
        <v>1755</v>
      </c>
      <c r="BM71" s="547" t="s">
        <v>88</v>
      </c>
      <c r="BN71" s="3684" t="s">
        <v>1756</v>
      </c>
    </row>
    <row customHeight="1" ht="11.25">
      <c r="A72" s="286" t="s">
        <v>1757</v>
      </c>
      <c r="AZ72" s="3683" t="s">
        <v>19</v>
      </c>
      <c r="BE72" s="3683">
        <v>2070</v>
      </c>
      <c r="BH72" s="3684" t="s">
        <v>1758</v>
      </c>
      <c r="BJ72" s="3684" t="s">
        <v>1758</v>
      </c>
      <c r="BL72" s="3684" t="s">
        <v>1758</v>
      </c>
      <c r="BN72" s="3684" t="s">
        <v>1759</v>
      </c>
    </row>
    <row customHeight="1" ht="11.25">
      <c r="A73" s="286" t="s">
        <v>1760</v>
      </c>
      <c r="BH73" s="3684" t="s">
        <v>1761</v>
      </c>
      <c r="BI73" s="547" t="s">
        <v>109</v>
      </c>
      <c r="BJ73" s="3684" t="s">
        <v>1762</v>
      </c>
      <c r="BK73" s="547" t="s">
        <v>109</v>
      </c>
      <c r="BL73" s="3684" t="s">
        <v>1763</v>
      </c>
      <c r="BM73" s="547" t="s">
        <v>109</v>
      </c>
      <c r="BN73" s="3684" t="s">
        <v>1764</v>
      </c>
    </row>
    <row customHeight="1" ht="11.25">
      <c r="A74" s="286" t="s">
        <v>1765</v>
      </c>
      <c r="BH74" s="3684" t="s">
        <v>1766</v>
      </c>
      <c r="BJ74" s="3684" t="s">
        <v>1767</v>
      </c>
      <c r="BL74" s="3684" t="s">
        <v>1768</v>
      </c>
      <c r="BN74" s="3684" t="s">
        <v>1769</v>
      </c>
    </row>
    <row customHeight="1" ht="11.25">
      <c r="A75" s="286" t="s">
        <v>1770</v>
      </c>
      <c r="AZ75" s="483" t="s">
        <v>1771</v>
      </c>
      <c r="BH75" s="3684" t="s">
        <v>1772</v>
      </c>
      <c r="BJ75" s="3684" t="s">
        <v>1772</v>
      </c>
      <c r="BL75" s="3684" t="s">
        <v>1772</v>
      </c>
    </row>
    <row customHeight="1" ht="11.25">
      <c r="A76" s="286" t="s">
        <v>1773</v>
      </c>
      <c r="AZ76" s="3683" t="s">
        <v>1250</v>
      </c>
      <c r="BH76" s="3684" t="s">
        <v>1774</v>
      </c>
      <c r="BJ76" s="3684" t="s">
        <v>1775</v>
      </c>
      <c r="BL76" s="3684" t="s">
        <v>1776</v>
      </c>
    </row>
    <row customHeight="1" ht="11.25">
      <c r="A77" s="286" t="s">
        <v>1777</v>
      </c>
      <c r="AZ77" s="3683" t="s">
        <v>1279</v>
      </c>
    </row>
    <row customHeight="1" ht="11.25">
      <c r="A78" s="286" t="s">
        <v>1778</v>
      </c>
      <c r="AZ78" s="3683" t="s">
        <v>1311</v>
      </c>
    </row>
    <row customHeight="1" ht="11.25">
      <c r="A79" s="286" t="s">
        <v>1779</v>
      </c>
      <c r="AZ79" s="3683" t="s">
        <v>1342</v>
      </c>
      <c r="BH79" s="483" t="s">
        <v>1780</v>
      </c>
      <c r="BJ79" s="483" t="s">
        <v>1781</v>
      </c>
      <c r="BL79" s="483" t="s">
        <v>1782</v>
      </c>
    </row>
    <row customHeight="1" ht="11.25">
      <c r="A80" s="286" t="s">
        <v>1783</v>
      </c>
      <c r="AZ80" s="3683" t="s">
        <v>1363</v>
      </c>
      <c r="BH80" s="3684" t="s">
        <v>1784</v>
      </c>
      <c r="BJ80" s="3684" t="s">
        <v>1785</v>
      </c>
      <c r="BL80" s="3684" t="s">
        <v>1786</v>
      </c>
    </row>
    <row customHeight="1" ht="11.25">
      <c r="A81" s="286" t="s">
        <v>1787</v>
      </c>
      <c r="AZ81" s="3683" t="s">
        <v>1380</v>
      </c>
      <c r="BH81" s="3684" t="s">
        <v>1788</v>
      </c>
      <c r="BJ81" s="3684" t="s">
        <v>1789</v>
      </c>
      <c r="BL81" s="3684" t="s">
        <v>1790</v>
      </c>
    </row>
    <row customHeight="1" ht="11.25">
      <c r="A82" s="286" t="s">
        <v>1791</v>
      </c>
      <c r="AZ82" s="3683" t="s">
        <v>1395</v>
      </c>
      <c r="BH82" s="3684" t="s">
        <v>1792</v>
      </c>
      <c r="BJ82" s="3684" t="s">
        <v>1793</v>
      </c>
      <c r="BL82" s="3684" t="s">
        <v>1794</v>
      </c>
    </row>
    <row customHeight="1" ht="11.25">
      <c r="A83" s="286" t="s">
        <v>1795</v>
      </c>
      <c r="BH83" s="3684" t="s">
        <v>1796</v>
      </c>
      <c r="BJ83" s="3684" t="s">
        <v>1797</v>
      </c>
      <c r="BL83" s="3684" t="s">
        <v>1798</v>
      </c>
    </row>
    <row customHeight="1" ht="11.25">
      <c r="A84" s="286" t="s">
        <v>1799</v>
      </c>
      <c r="AZ84" s="483" t="s">
        <v>1800</v>
      </c>
    </row>
    <row customHeight="1" ht="11.25">
      <c r="A85" s="521" t="s">
        <v>1801</v>
      </c>
      <c r="AZ85" s="3683" t="s">
        <v>1802</v>
      </c>
    </row>
    <row customHeight="1" ht="11.25">
      <c r="A86" s="286" t="s">
        <v>1803</v>
      </c>
      <c r="AZ86" s="3683" t="s">
        <v>1804</v>
      </c>
      <c r="BH86" s="483" t="s">
        <v>1805</v>
      </c>
      <c r="BJ86" s="483" t="s">
        <v>1806</v>
      </c>
      <c r="BL86" s="483" t="s">
        <v>1807</v>
      </c>
    </row>
    <row customHeight="1" ht="11.25">
      <c r="A87" s="286" t="s">
        <v>1808</v>
      </c>
      <c r="AZ87" s="3683" t="s">
        <v>1809</v>
      </c>
      <c r="BH87" s="3684" t="s">
        <v>1810</v>
      </c>
      <c r="BJ87" s="3684" t="s">
        <v>1811</v>
      </c>
      <c r="BL87" s="3684" t="s">
        <v>1812</v>
      </c>
    </row>
    <row customHeight="1" ht="11.25">
      <c r="A88" s="286" t="s">
        <v>1813</v>
      </c>
      <c r="BH88" s="3684" t="s">
        <v>1814</v>
      </c>
      <c r="BJ88" s="3684" t="s">
        <v>1815</v>
      </c>
      <c r="BL88" s="3684" t="s">
        <v>1816</v>
      </c>
    </row>
    <row customHeight="1" ht="11.25">
      <c r="A89" s="286" t="s">
        <v>1817</v>
      </c>
      <c r="AZ89" s="483" t="s">
        <v>1818</v>
      </c>
    </row>
    <row customHeight="1" ht="11.25">
      <c r="A90" s="286" t="s">
        <v>1819</v>
      </c>
      <c r="AZ90" s="3683" t="s">
        <v>1042</v>
      </c>
    </row>
    <row customHeight="1" ht="11.25">
      <c r="A91" s="286" t="s">
        <v>1820</v>
      </c>
      <c r="AZ91" s="3683" t="s">
        <v>1078</v>
      </c>
      <c r="BH91" s="483" t="s">
        <v>1821</v>
      </c>
      <c r="BJ91" s="483" t="s">
        <v>1822</v>
      </c>
      <c r="BL91" s="483" t="s">
        <v>1823</v>
      </c>
    </row>
    <row customHeight="1" ht="11.25">
      <c r="AZ92" s="3683" t="s">
        <v>1824</v>
      </c>
      <c r="BH92" s="3684" t="s">
        <v>1825</v>
      </c>
      <c r="BJ92" s="3684" t="s">
        <v>1826</v>
      </c>
      <c r="BL92" s="3684" t="s">
        <v>1827</v>
      </c>
    </row>
    <row customHeight="1" ht="11.25">
      <c r="AZ93" s="3683" t="s">
        <v>1828</v>
      </c>
      <c r="BH93" s="3684" t="s">
        <v>1829</v>
      </c>
      <c r="BJ93" s="3684" t="s">
        <v>1830</v>
      </c>
      <c r="BL93" s="3684" t="s">
        <v>1831</v>
      </c>
    </row>
    <row customHeight="1" ht="11.25">
      <c r="AZ94" s="3683" t="s">
        <v>1832</v>
      </c>
    </row>
    <row r="96" customHeight="1" ht="11.25">
      <c r="AZ96" s="483" t="s">
        <v>1833</v>
      </c>
      <c r="BH96" s="483" t="s">
        <v>1834</v>
      </c>
      <c r="BJ96" s="483" t="s">
        <v>1835</v>
      </c>
      <c r="BL96" s="483" t="s">
        <v>1836</v>
      </c>
      <c r="BN96" s="483" t="s">
        <v>1837</v>
      </c>
    </row>
    <row customHeight="1" ht="11.25">
      <c r="AZ97" s="3705" t="s">
        <v>1838</v>
      </c>
      <c r="BA97" s="3706" t="s">
        <v>1839</v>
      </c>
      <c r="BH97" s="3684" t="s">
        <v>1840</v>
      </c>
      <c r="BJ97" s="3684" t="s">
        <v>1841</v>
      </c>
      <c r="BL97" s="3684" t="s">
        <v>1842</v>
      </c>
      <c r="BN97" s="3684" t="s">
        <v>1843</v>
      </c>
    </row>
    <row customHeight="1" ht="11.25">
      <c r="AZ98" s="3705" t="s">
        <v>1844</v>
      </c>
      <c r="BA98" s="3706" t="s">
        <v>1845</v>
      </c>
      <c r="BH98" s="3684" t="s">
        <v>1846</v>
      </c>
      <c r="BJ98" s="3684" t="s">
        <v>1847</v>
      </c>
      <c r="BL98" s="3684" t="s">
        <v>1848</v>
      </c>
      <c r="BN98" s="3684" t="s">
        <v>1849</v>
      </c>
    </row>
    <row customHeight="1" ht="22.5">
      <c r="AZ99" s="3705" t="s">
        <v>1850</v>
      </c>
      <c r="BA99" s="37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3684" t="s">
        <v>1851</v>
      </c>
      <c r="BJ99" s="3684" t="s">
        <v>1852</v>
      </c>
      <c r="BL99" s="3684" t="s">
        <v>1853</v>
      </c>
      <c r="BN99" s="3684" t="s">
        <v>1854</v>
      </c>
    </row>
    <row customHeight="1" ht="22.5">
      <c r="AZ100" s="3705" t="s">
        <v>1855</v>
      </c>
      <c r="BA100" s="37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3684" t="s">
        <v>1441</v>
      </c>
      <c r="BL100" s="3684" t="s">
        <v>1441</v>
      </c>
      <c r="BN100" s="3684" t="s">
        <v>1856</v>
      </c>
    </row>
    <row customHeight="1" ht="22.5">
      <c r="AZ101" s="3705" t="s">
        <v>1857</v>
      </c>
      <c r="BA101" s="3706" t="s">
        <v>1858</v>
      </c>
      <c r="BN101" s="3684" t="s">
        <v>1859</v>
      </c>
    </row>
    <row customHeight="1" ht="22.5">
      <c r="AZ102" s="3705" t="s">
        <v>1860</v>
      </c>
      <c r="BA102" s="37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3684" t="s">
        <v>1861</v>
      </c>
    </row>
    <row customHeight="1" ht="11.25">
      <c r="AZ103" s="3705" t="s">
        <v>1862</v>
      </c>
      <c r="BA103" s="3706" t="s">
        <v>1863</v>
      </c>
      <c r="BN103" s="3684" t="s">
        <v>1864</v>
      </c>
    </row>
    <row customHeight="1" ht="11.25">
      <c r="BN104" s="3684" t="s">
        <v>1865</v>
      </c>
    </row>
    <row customHeight="1" ht="11.25">
      <c r="AZ105" s="483" t="s">
        <v>1866</v>
      </c>
    </row>
    <row customHeight="1" ht="11.25">
      <c r="AZ106" s="3683" t="s">
        <v>1867</v>
      </c>
    </row>
    <row customHeight="1" ht="11.25">
      <c r="AZ107" s="3683" t="s">
        <v>1868</v>
      </c>
      <c r="BH107" s="483" t="s">
        <v>1869</v>
      </c>
      <c r="BJ107" s="483" t="s">
        <v>1870</v>
      </c>
      <c r="BL107" s="483" t="s">
        <v>1871</v>
      </c>
      <c r="BN107" s="483" t="s">
        <v>1872</v>
      </c>
    </row>
    <row customHeight="1" ht="11.25">
      <c r="AZ108" s="3683" t="s">
        <v>586</v>
      </c>
      <c r="BH108" s="3684" t="s">
        <v>1873</v>
      </c>
      <c r="BJ108" s="3684" t="s">
        <v>1874</v>
      </c>
      <c r="BL108" s="3684" t="s">
        <v>1527</v>
      </c>
      <c r="BN108" s="3684" t="s">
        <v>1875</v>
      </c>
    </row>
    <row customHeight="1" ht="11.25">
      <c r="BH109" s="3684" t="s">
        <v>1876</v>
      </c>
    </row>
    <row customHeight="1" ht="11.25">
      <c r="AZ110" s="483" t="s">
        <v>1877</v>
      </c>
      <c r="BH110" s="3684" t="s">
        <v>1876</v>
      </c>
    </row>
    <row customHeight="1" ht="11.25">
      <c r="AZ111" s="3705" t="s">
        <v>1838</v>
      </c>
      <c r="BA111" s="3706" t="s">
        <v>1839</v>
      </c>
    </row>
    <row customHeight="1" ht="11.25">
      <c r="AZ112" s="3705" t="s">
        <v>1844</v>
      </c>
      <c r="BA112" s="3706" t="s">
        <v>1845</v>
      </c>
    </row>
    <row customHeight="1" ht="22.5">
      <c r="AZ113" s="3705" t="s">
        <v>1850</v>
      </c>
      <c r="BA113" s="37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3705" t="s">
        <v>1855</v>
      </c>
      <c r="BA114" s="37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483" t="s">
        <v>1878</v>
      </c>
    </row>
    <row customHeight="1" ht="22.5">
      <c r="AZ115" s="3705" t="s">
        <v>1860</v>
      </c>
      <c r="BA115" s="37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3684" t="s">
        <v>1237</v>
      </c>
    </row>
    <row customHeight="1" ht="11.25">
      <c r="AZ116" s="3705" t="s">
        <v>1862</v>
      </c>
      <c r="BA116" s="3706" t="s">
        <v>1863</v>
      </c>
      <c r="BH116" s="3684" t="s">
        <v>1265</v>
      </c>
    </row>
    <row customHeight="1" ht="11.25">
      <c r="BH117" s="3684" t="s">
        <v>1300</v>
      </c>
    </row>
    <row customHeight="1" ht="11.25">
      <c r="BH118" s="3684"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8266B-DF39-0264-A67E-13885971C53C}" mc:Ignorable="x14ac xr xr2 xr3">
  <dimension ref="A1:J25"/>
  <sheetViews>
    <sheetView topLeftCell="A1" showGridLines="0" zoomScale="90" workbookViewId="0">
      <selection activeCell="A1" sqref="A1"/>
    </sheetView>
  </sheetViews>
  <sheetFormatPr defaultColWidth="9.140625" customHeight="1" defaultRowHeight="11.25"/>
  <cols>
    <col min="1" max="2" style="7348" width="15.00390625" hidden="1" customWidth="1"/>
    <col min="3" max="3" style="7348" width="3.00390625" customWidth="1"/>
    <col min="4" max="4" style="7348" width="6.00390625" customWidth="1"/>
    <col min="5" max="5" style="7348" width="52.00390625" customWidth="1"/>
    <col min="6" max="6" style="7348" width="48.00390625" customWidth="1"/>
    <col min="7" max="7" style="7348" width="93.00390625" customWidth="1"/>
    <col min="8" max="8" style="7348" width="8.00390625" customWidth="1"/>
    <col min="9" max="9" style="7348" width="64.00390625" customWidth="1"/>
    <col min="10" max="10" style="7348" width="9.140625" hidden="1"/>
  </cols>
  <sheetData>
    <row customHeight="1" ht="11.25" hidden="1">
      <c r="A1" s="3572" t="s">
        <v>314</v>
      </c>
      <c r="J1" s="3571" t="s">
        <v>14</v>
      </c>
    </row>
    <row customHeight="1" ht="22.5" hidden="1">
      <c r="A2" s="3576"/>
      <c r="B2" s="3576"/>
      <c r="C2" s="991" t="s">
        <v>119</v>
      </c>
      <c r="D2" s="1223"/>
      <c r="E2" s="413"/>
      <c r="F2" s="3907"/>
      <c r="H2" s="3583"/>
      <c r="J2" s="3571">
        <v>0</v>
      </c>
    </row>
    <row customHeight="1" ht="11.25" hidden="1">
      <c r="J3" s="3571">
        <v>0</v>
      </c>
    </row>
    <row customHeight="1" ht="11.549999999999999">
      <c r="A4" s="4024"/>
      <c r="B4" s="4024"/>
      <c r="J4" s="3571">
        <v>11</v>
      </c>
    </row>
    <row customHeight="1" ht="27.299999999999997">
      <c r="D5" s="349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491"/>
      <c r="F5" s="3492"/>
      <c r="J5" s="3571">
        <v>26</v>
      </c>
    </row>
    <row customHeight="1" ht="18">
      <c r="D6" s="3554" t="str">
        <f>IF(region_name=0,"Не определено",region_name)</f>
        <v>Саратовская область</v>
      </c>
      <c r="E6" s="3554"/>
      <c r="F6" s="3554"/>
      <c r="J6" s="3571">
        <v>17</v>
      </c>
    </row>
    <row customHeight="1" ht="11.549999999999999">
      <c r="A7" s="3572"/>
      <c r="B7" s="3572"/>
      <c r="F7" s="3575"/>
      <c r="J7" s="3574">
        <v>11</v>
      </c>
    </row>
    <row customHeight="1" ht="11.25" hidden="1">
      <c r="A8" s="3576"/>
      <c r="B8" s="3576"/>
      <c r="C8" s="3450"/>
      <c r="D8" s="3445"/>
      <c r="E8" s="3577"/>
      <c r="F8" s="3577"/>
      <c r="J8" s="3571">
        <v>0</v>
      </c>
    </row>
    <row customHeight="1" ht="11.549999999999999">
      <c r="A9" s="3576"/>
      <c r="B9" s="3576"/>
      <c r="C9" s="3450"/>
      <c r="D9" s="313" t="s">
        <v>315</v>
      </c>
      <c r="E9" s="314"/>
      <c r="F9" s="314"/>
      <c r="G9" s="3578" t="s">
        <v>316</v>
      </c>
      <c r="J9" s="3571">
        <v>11</v>
      </c>
    </row>
    <row customHeight="1" ht="11.549999999999999">
      <c r="A10" s="3576"/>
      <c r="B10" s="3576"/>
      <c r="C10" s="3450"/>
      <c r="D10" s="314" t="s">
        <v>86</v>
      </c>
      <c r="E10" s="3578" t="s">
        <v>317</v>
      </c>
      <c r="F10" s="3578" t="s">
        <v>318</v>
      </c>
      <c r="G10" s="3579"/>
      <c r="J10" s="3571">
        <v>11</v>
      </c>
    </row>
    <row customHeight="1" ht="1.05">
      <c r="A11" s="3576"/>
      <c r="B11" s="3576"/>
      <c r="C11" s="3450"/>
      <c r="D11" s="3580"/>
      <c r="E11" s="3580"/>
      <c r="F11" s="3580"/>
      <c r="G11" s="3580"/>
      <c r="J11" s="3571">
        <v>1</v>
      </c>
    </row>
    <row customHeight="1" ht="24">
      <c r="A12" s="3576"/>
      <c r="B12" s="3576"/>
      <c r="C12" s="3450"/>
      <c r="D12" s="1223">
        <v>1</v>
      </c>
      <c r="E12" s="358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3873" t="str">
        <f>IF(org="","",org)</f>
        <v>ООО "ТеплоЭлектроГенерирующая Компания"</v>
      </c>
      <c r="G12" s="358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4025"/>
      <c r="J12" s="3571">
        <v>23</v>
      </c>
    </row>
    <row customHeight="1" ht="19.95">
      <c r="A13" s="3576"/>
      <c r="B13" s="3576"/>
      <c r="C13" s="3450"/>
      <c r="D13" s="1223">
        <v>2</v>
      </c>
      <c r="E13" s="3818" t="s">
        <v>1879</v>
      </c>
      <c r="F13" s="3480" t="s">
        <v>321</v>
      </c>
      <c r="G13" s="3585"/>
      <c r="H13" s="4025"/>
      <c r="J13" s="3571">
        <v>19</v>
      </c>
    </row>
    <row customHeight="1" ht="19.95">
      <c r="A14" s="3576"/>
      <c r="B14" s="3576"/>
      <c r="C14" s="3450"/>
      <c r="D14" s="287" t="s">
        <v>732</v>
      </c>
      <c r="E14" s="3912" t="s">
        <v>1880</v>
      </c>
      <c r="F14" s="413"/>
      <c r="G14" s="3764" t="s">
        <v>1881</v>
      </c>
      <c r="H14" s="4025"/>
      <c r="J14" s="3571">
        <v>19</v>
      </c>
    </row>
    <row customHeight="1" ht="19.95">
      <c r="A15" s="3576"/>
      <c r="B15" s="3576"/>
      <c r="C15" s="3450"/>
      <c r="D15" s="287" t="s">
        <v>322</v>
      </c>
      <c r="E15" s="3912" t="s">
        <v>1882</v>
      </c>
      <c r="F15" s="413"/>
      <c r="G15" s="3764" t="s">
        <v>1883</v>
      </c>
      <c r="H15" s="4025"/>
      <c r="J15" s="3571">
        <v>19</v>
      </c>
    </row>
    <row customHeight="1" ht="24">
      <c r="A16" s="3576"/>
      <c r="B16" s="3576"/>
      <c r="C16" s="3450"/>
      <c r="D16" s="287" t="s">
        <v>325</v>
      </c>
      <c r="E16" s="3827" t="s">
        <v>1884</v>
      </c>
      <c r="F16" s="355"/>
      <c r="G16" s="3585" t="s">
        <v>1885</v>
      </c>
      <c r="H16" s="4025"/>
      <c r="J16" s="3571">
        <v>23</v>
      </c>
    </row>
    <row customHeight="1" ht="48.29999999999999">
      <c r="A17" s="3576"/>
      <c r="B17" s="3576"/>
      <c r="C17" s="3450"/>
      <c r="D17" s="1223">
        <v>3</v>
      </c>
      <c r="E17" s="3818" t="s">
        <v>1886</v>
      </c>
      <c r="F17" s="413"/>
      <c r="G17" s="3585" t="s">
        <v>1887</v>
      </c>
      <c r="H17" s="4025"/>
      <c r="J17" s="3571">
        <v>46</v>
      </c>
    </row>
    <row customHeight="1" ht="48.29999999999999">
      <c r="A18" s="4026">
        <v>1</v>
      </c>
      <c r="B18" s="3576"/>
      <c r="C18" s="3588"/>
      <c r="D18" s="1223" t="s">
        <v>89</v>
      </c>
      <c r="E18" s="3818" t="s">
        <v>1888</v>
      </c>
      <c r="F18" s="413"/>
      <c r="G18" s="3585" t="s">
        <v>1887</v>
      </c>
      <c r="H18" s="4025"/>
      <c r="J18" s="3571">
        <v>46</v>
      </c>
    </row>
    <row customHeight="1" ht="23.25">
      <c r="A19" s="3576"/>
      <c r="B19" s="3576"/>
      <c r="C19" s="3450"/>
      <c r="D19" s="1223" t="s">
        <v>109</v>
      </c>
      <c r="E19" s="3818" t="s">
        <v>1889</v>
      </c>
      <c r="F19" s="3480" t="s">
        <v>321</v>
      </c>
      <c r="G19" s="4027" t="s">
        <v>1890</v>
      </c>
      <c r="H19" s="3583"/>
      <c r="J19" s="3571">
        <v>22</v>
      </c>
    </row>
    <row customHeight="1" ht="5.25" hidden="1">
      <c r="A20" s="3576"/>
      <c r="B20" s="3576"/>
      <c r="C20" s="4028"/>
      <c r="D20" s="4029" t="s">
        <v>1139</v>
      </c>
      <c r="E20" s="3597"/>
      <c r="F20" s="3481"/>
      <c r="G20" s="4030"/>
      <c r="J20" s="4031">
        <v>0</v>
      </c>
    </row>
    <row customHeight="1" ht="15.75">
      <c r="A21" s="3576"/>
      <c r="B21" s="3576"/>
      <c r="C21" s="3450"/>
      <c r="D21" s="3592"/>
      <c r="E21" s="167" t="s">
        <v>354</v>
      </c>
      <c r="F21" s="3594"/>
      <c r="G21" s="4032"/>
      <c r="H21" s="4025"/>
      <c r="J21" s="3571">
        <v>15</v>
      </c>
    </row>
    <row customHeight="1" ht="26.25">
      <c r="A22" s="3576"/>
      <c r="B22" s="3576"/>
      <c r="C22" s="3576"/>
      <c r="D22" s="1223" t="s">
        <v>90</v>
      </c>
      <c r="E22" s="3585" t="s">
        <v>1891</v>
      </c>
      <c r="F22" s="413"/>
      <c r="G22" s="3585" t="s">
        <v>1892</v>
      </c>
      <c r="H22" s="4033"/>
      <c r="J22" s="3572">
        <v>25</v>
      </c>
    </row>
    <row customHeight="1" ht="19.95">
      <c r="A23" s="3576"/>
      <c r="B23" s="3576"/>
      <c r="C23" s="3576"/>
      <c r="D23" s="1223" t="s">
        <v>91</v>
      </c>
      <c r="E23" s="3818" t="s">
        <v>1893</v>
      </c>
      <c r="F23" s="355"/>
      <c r="G23" s="3585" t="s">
        <v>1894</v>
      </c>
      <c r="H23" s="4033"/>
      <c r="J23" s="3572">
        <v>19</v>
      </c>
    </row>
    <row customHeight="1" ht="144" hidden="1">
      <c r="A24" s="3576"/>
      <c r="B24" s="3576"/>
      <c r="C24" s="3576"/>
      <c r="D24" s="1223" t="s">
        <v>110</v>
      </c>
      <c r="E24" s="403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235"/>
      <c r="G24" s="4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4033"/>
      <c r="J24" s="3572">
        <v>0</v>
      </c>
    </row>
    <row customHeight="1" ht="11.25" hidden="1">
      <c r="A25" s="3572" t="s">
        <v>80</v>
      </c>
      <c r="B25" s="3572">
        <v>0</v>
      </c>
      <c r="C25" s="3571">
        <v>3</v>
      </c>
      <c r="D25" s="3617">
        <v>6</v>
      </c>
      <c r="E25" s="3571">
        <v>52</v>
      </c>
      <c r="F25" s="3571">
        <v>48</v>
      </c>
      <c r="G25" s="3571">
        <v>93</v>
      </c>
      <c r="H25" s="3571">
        <v>8</v>
      </c>
      <c r="I25" s="3571">
        <v>64</v>
      </c>
      <c r="J25" s="357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0A48C-B4FA-3EB1-9FD8-3A378740F3AE}" mc:Ignorable="x14ac xr xr2 xr3">
  <dimension ref="A1:IU24"/>
  <sheetViews>
    <sheetView topLeftCell="A1" showGridLines="0" zoomScale="90" workbookViewId="0">
      <selection activeCell="A1" sqref="A1"/>
    </sheetView>
  </sheetViews>
  <sheetFormatPr defaultColWidth="9.140625" customHeight="1" defaultRowHeight="14.25"/>
  <cols>
    <col min="1" max="2" style="7348" width="9.140625" hidden="1"/>
    <col min="3" max="3" style="7348" width="3.7109375" hidden="1" customWidth="1"/>
    <col min="4" max="4" style="7348" width="3.00390625" customWidth="1"/>
    <col min="5" max="5" style="7348" width="6.00390625" customWidth="1"/>
    <col min="6" max="6" style="7348" width="46.00390625" customWidth="1"/>
    <col min="7" max="8" style="7348" width="16.00390625" customWidth="1"/>
    <col min="9" max="9" style="7348" width="35.00390625" customWidth="1"/>
    <col min="10" max="10" style="7348" width="89.00390625" customWidth="1"/>
    <col min="11" max="11" style="7348" width="3.00390625" customWidth="1"/>
    <col min="12" max="14" style="7348" width="8.00390625" customWidth="1"/>
    <col min="15" max="15" style="7348" width="25.00390625" customWidth="1"/>
    <col min="16" max="16" style="7348" width="14.00390625" customWidth="1"/>
    <col min="17" max="254" style="7348" width="8.00390625" customWidth="1"/>
    <col min="255" max="255" style="7348" width="9.140625" hidden="1"/>
  </cols>
  <sheetData>
    <row customHeight="1" ht="22.5" hidden="1">
      <c r="F1" s="3432" t="s">
        <v>1895</v>
      </c>
      <c r="G1" s="3432" t="s">
        <v>47</v>
      </c>
      <c r="H1" s="3432" t="s">
        <v>49</v>
      </c>
      <c r="IU1" s="3432" t="s">
        <v>14</v>
      </c>
    </row>
    <row customHeight="1" ht="22.5" hidden="1">
      <c r="B2" s="3449">
        <v>1</v>
      </c>
      <c r="D2" s="3693" t="s">
        <v>119</v>
      </c>
      <c r="E2" s="3480"/>
      <c r="F2" s="356"/>
      <c r="G2" s="356"/>
      <c r="H2" s="356"/>
      <c r="I2" s="1237"/>
      <c r="J2" s="4036"/>
      <c r="N2" s="3479" t="str">
        <f t="array" ref="N2:N2">IF(ISERROR(MATCH(MID(O2,1,250),MID(note_ter,1,250),0)),"n","y")</f>
        <v>n</v>
      </c>
      <c r="P2" s="3479" t="str">
        <f>G2&amp;"("&amp;J2&amp;")"</f>
        <v>()</v>
      </c>
      <c r="IU2" s="164">
        <v>0</v>
      </c>
    </row>
    <row customHeight="1" ht="4.2">
      <c r="F3" s="3470" t="s">
        <v>81</v>
      </c>
      <c r="G3" s="3471" t="s">
        <v>82</v>
      </c>
      <c r="J3" s="3472" t="s">
        <v>83</v>
      </c>
      <c r="K3" s="3470" t="s">
        <v>81</v>
      </c>
      <c r="IU3" s="3473">
        <v>4</v>
      </c>
    </row>
    <row customHeight="1" ht="14.699999999999998">
      <c r="IU4" s="3475">
        <v>14</v>
      </c>
    </row>
    <row customHeight="1" ht="27.299999999999997">
      <c r="E5" s="347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476"/>
      <c r="G5" s="3476"/>
      <c r="H5" s="3476"/>
      <c r="I5" s="3476"/>
      <c r="J5" s="3476"/>
      <c r="IU5" s="3475">
        <v>26</v>
      </c>
    </row>
    <row customHeight="1" ht="14.699999999999998">
      <c r="IU6" s="3475">
        <v>14</v>
      </c>
    </row>
    <row customHeight="1" ht="14.699999999999998">
      <c r="E7" s="3437" t="s">
        <v>315</v>
      </c>
      <c r="F7" s="3477"/>
      <c r="G7" s="3477"/>
      <c r="H7" s="3477"/>
      <c r="I7" s="3477"/>
      <c r="J7" s="1129" t="s">
        <v>316</v>
      </c>
      <c r="IU7" s="3475">
        <v>14</v>
      </c>
    </row>
    <row customHeight="1" ht="21">
      <c r="E8" s="1239" t="s">
        <v>86</v>
      </c>
      <c r="F8" s="1240" t="s">
        <v>1895</v>
      </c>
      <c r="G8" s="1240" t="s">
        <v>47</v>
      </c>
      <c r="H8" s="1240" t="s">
        <v>49</v>
      </c>
      <c r="I8" s="1240" t="s">
        <v>1896</v>
      </c>
      <c r="J8" s="1241"/>
      <c r="IU8" s="3475">
        <v>20</v>
      </c>
    </row>
    <row customHeight="1" ht="23.25">
      <c r="B9" s="3449">
        <v>1</v>
      </c>
      <c r="E9" s="3480">
        <v>1</v>
      </c>
      <c r="F9" s="1242"/>
      <c r="G9" s="356"/>
      <c r="H9" s="356"/>
      <c r="I9" s="1243"/>
      <c r="J9" s="35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3479" t="str">
        <f t="array" ref="N9:N9">IF(ISERROR(MATCH(MID(O9,1,250),MID(note_ter,1,250),0)),"n","y")</f>
        <v>n</v>
      </c>
      <c r="P9" s="34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64">
        <v>22</v>
      </c>
    </row>
    <row customHeight="1" ht="15.75">
      <c r="E10" s="1244"/>
      <c r="F10" s="791" t="s">
        <v>1897</v>
      </c>
      <c r="G10" s="1245"/>
      <c r="H10" s="1245"/>
      <c r="I10" s="1246"/>
      <c r="J10" s="3550"/>
      <c r="IU10" s="164">
        <v>15</v>
      </c>
    </row>
    <row customHeight="1" ht="22.049999999999997">
      <c r="E11" s="3485"/>
      <c r="F11" s="3485"/>
      <c r="G11" s="3485"/>
      <c r="H11" s="3485"/>
      <c r="I11" s="3485"/>
      <c r="J11" s="3485"/>
      <c r="IU11" s="3475">
        <v>21</v>
      </c>
    </row>
    <row customHeight="1" ht="14.699999999999998">
      <c r="IU12" s="3475">
        <v>14</v>
      </c>
    </row>
    <row customHeight="1" ht="1.05">
      <c r="IU13" s="3475">
        <v>1</v>
      </c>
    </row>
    <row customHeight="1" ht="10.5">
      <c r="IU14" s="3486">
        <v>10</v>
      </c>
    </row>
    <row customHeight="1" ht="10.5">
      <c r="IU15" s="3486">
        <v>10</v>
      </c>
    </row>
    <row customHeight="1" ht="14.699999999999998">
      <c r="IU16" s="3432">
        <v>14</v>
      </c>
    </row>
    <row customHeight="1" ht="14.699999999999998">
      <c r="IU17" s="3432">
        <v>14</v>
      </c>
    </row>
    <row customHeight="1" ht="14.699999999999998">
      <c r="IU18" s="3432">
        <v>14</v>
      </c>
    </row>
    <row customHeight="1" ht="14.699999999999998">
      <c r="IU19" s="3432">
        <v>14</v>
      </c>
    </row>
    <row customHeight="1" ht="14.699999999999998">
      <c r="IU20" s="3432">
        <v>14</v>
      </c>
    </row>
    <row customHeight="1" ht="14.699999999999998">
      <c r="IU21" s="3432">
        <v>14</v>
      </c>
    </row>
    <row customHeight="1" ht="14.699999999999998">
      <c r="IU22" s="3432">
        <v>14</v>
      </c>
    </row>
    <row customHeight="1" ht="14.699999999999998">
      <c r="IU23" s="3432">
        <v>14</v>
      </c>
    </row>
    <row customHeight="1" ht="22.5" hidden="1">
      <c r="A24" s="3432" t="s">
        <v>80</v>
      </c>
      <c r="B24" s="3449">
        <v>0</v>
      </c>
      <c r="C24" s="3432">
        <v>0</v>
      </c>
      <c r="D24" s="3487">
        <v>3</v>
      </c>
      <c r="E24" s="3432">
        <v>6</v>
      </c>
      <c r="F24" s="3432">
        <v>46</v>
      </c>
      <c r="G24" s="3432">
        <v>16</v>
      </c>
      <c r="H24" s="3432">
        <v>16</v>
      </c>
      <c r="I24" s="3432">
        <v>35</v>
      </c>
      <c r="J24" s="3432">
        <v>89</v>
      </c>
      <c r="K24" s="3479">
        <v>3</v>
      </c>
      <c r="L24" s="3479">
        <v>8</v>
      </c>
      <c r="M24" s="3479">
        <v>8</v>
      </c>
      <c r="N24" s="3479">
        <v>8</v>
      </c>
      <c r="O24" s="3479">
        <v>25</v>
      </c>
      <c r="P24" s="3479">
        <v>14</v>
      </c>
      <c r="Q24" s="3488">
        <v>8</v>
      </c>
      <c r="R24" s="3488">
        <v>8</v>
      </c>
      <c r="S24" s="3488">
        <v>8</v>
      </c>
      <c r="T24" s="3488">
        <v>8</v>
      </c>
      <c r="U24" s="3432">
        <v>8</v>
      </c>
      <c r="V24" s="3432">
        <v>8</v>
      </c>
      <c r="W24" s="3432">
        <v>8</v>
      </c>
      <c r="X24" s="3432">
        <v>8</v>
      </c>
      <c r="Y24" s="3432">
        <v>8</v>
      </c>
      <c r="Z24" s="3432">
        <v>8</v>
      </c>
      <c r="AA24" s="3432">
        <v>8</v>
      </c>
      <c r="AB24" s="3432">
        <v>8</v>
      </c>
      <c r="AC24" s="3432">
        <v>8</v>
      </c>
      <c r="AD24" s="3432">
        <v>8</v>
      </c>
      <c r="AE24" s="3432">
        <v>8</v>
      </c>
      <c r="AF24" s="3432">
        <v>8</v>
      </c>
      <c r="AG24" s="3432">
        <v>8</v>
      </c>
      <c r="AH24" s="3432">
        <v>8</v>
      </c>
      <c r="AI24" s="3432">
        <v>8</v>
      </c>
      <c r="AJ24" s="3432">
        <v>8</v>
      </c>
      <c r="AK24" s="3432">
        <v>8</v>
      </c>
      <c r="AL24" s="3432">
        <v>8</v>
      </c>
      <c r="AM24" s="3432">
        <v>8</v>
      </c>
      <c r="AN24" s="3432">
        <v>8</v>
      </c>
      <c r="AO24" s="3432">
        <v>8</v>
      </c>
      <c r="AP24" s="3432">
        <v>8</v>
      </c>
      <c r="AQ24" s="3432">
        <v>8</v>
      </c>
      <c r="AR24" s="3432">
        <v>8</v>
      </c>
      <c r="AS24" s="3432">
        <v>8</v>
      </c>
      <c r="AT24" s="3432">
        <v>8</v>
      </c>
      <c r="AU24" s="3432">
        <v>8</v>
      </c>
      <c r="AV24" s="3432">
        <v>8</v>
      </c>
      <c r="AW24" s="3432">
        <v>8</v>
      </c>
      <c r="AX24" s="3432">
        <v>8</v>
      </c>
      <c r="AY24" s="3432">
        <v>8</v>
      </c>
      <c r="AZ24" s="3432">
        <v>8</v>
      </c>
      <c r="BA24" s="3432">
        <v>8</v>
      </c>
      <c r="BB24" s="3432">
        <v>8</v>
      </c>
      <c r="BC24" s="3432">
        <v>8</v>
      </c>
      <c r="BD24" s="3432">
        <v>8</v>
      </c>
      <c r="BE24" s="3432">
        <v>8</v>
      </c>
      <c r="BF24" s="3432">
        <v>8</v>
      </c>
      <c r="BG24" s="3432">
        <v>8</v>
      </c>
      <c r="BH24" s="3432">
        <v>8</v>
      </c>
      <c r="BI24" s="3432">
        <v>8</v>
      </c>
      <c r="BJ24" s="3432">
        <v>8</v>
      </c>
      <c r="BK24" s="3432">
        <v>8</v>
      </c>
      <c r="BL24" s="3432">
        <v>8</v>
      </c>
      <c r="BM24" s="3432">
        <v>8</v>
      </c>
      <c r="BN24" s="3432">
        <v>8</v>
      </c>
      <c r="BO24" s="3432">
        <v>8</v>
      </c>
      <c r="BP24" s="3432">
        <v>8</v>
      </c>
      <c r="BQ24" s="3432">
        <v>8</v>
      </c>
      <c r="BR24" s="3432">
        <v>8</v>
      </c>
      <c r="BS24" s="3432">
        <v>8</v>
      </c>
      <c r="BT24" s="3432">
        <v>8</v>
      </c>
      <c r="BU24" s="3432">
        <v>8</v>
      </c>
      <c r="BV24" s="3432">
        <v>8</v>
      </c>
      <c r="BW24" s="3432">
        <v>8</v>
      </c>
      <c r="BX24" s="3432">
        <v>8</v>
      </c>
      <c r="BY24" s="3432">
        <v>8</v>
      </c>
      <c r="BZ24" s="3432">
        <v>8</v>
      </c>
      <c r="CA24" s="3432">
        <v>8</v>
      </c>
      <c r="CB24" s="3432">
        <v>8</v>
      </c>
      <c r="CC24" s="3432">
        <v>8</v>
      </c>
      <c r="CD24" s="3432">
        <v>8</v>
      </c>
      <c r="CE24" s="3432">
        <v>8</v>
      </c>
      <c r="CF24" s="3432">
        <v>8</v>
      </c>
      <c r="CG24" s="3432">
        <v>8</v>
      </c>
      <c r="CH24" s="3432">
        <v>8</v>
      </c>
      <c r="CI24" s="3432">
        <v>8</v>
      </c>
      <c r="CJ24" s="3432">
        <v>8</v>
      </c>
      <c r="CK24" s="3432">
        <v>8</v>
      </c>
      <c r="CL24" s="3432">
        <v>8</v>
      </c>
      <c r="CM24" s="3432">
        <v>8</v>
      </c>
      <c r="CN24" s="3432">
        <v>8</v>
      </c>
      <c r="CO24" s="3432">
        <v>8</v>
      </c>
      <c r="CP24" s="3432">
        <v>8</v>
      </c>
      <c r="CQ24" s="3432">
        <v>8</v>
      </c>
      <c r="CR24" s="3432">
        <v>8</v>
      </c>
      <c r="CS24" s="3432">
        <v>8</v>
      </c>
      <c r="CT24" s="3432">
        <v>8</v>
      </c>
      <c r="CU24" s="3432">
        <v>8</v>
      </c>
      <c r="CV24" s="3432">
        <v>8</v>
      </c>
      <c r="CW24" s="3432">
        <v>8</v>
      </c>
      <c r="CX24" s="3432">
        <v>8</v>
      </c>
      <c r="CY24" s="3432">
        <v>8</v>
      </c>
      <c r="CZ24" s="3432">
        <v>8</v>
      </c>
      <c r="DA24" s="3432">
        <v>8</v>
      </c>
      <c r="DB24" s="3432">
        <v>8</v>
      </c>
      <c r="DC24" s="3432">
        <v>8</v>
      </c>
      <c r="DD24" s="3432">
        <v>8</v>
      </c>
      <c r="DE24" s="3432">
        <v>8</v>
      </c>
      <c r="DF24" s="3432">
        <v>8</v>
      </c>
      <c r="DG24" s="3432">
        <v>8</v>
      </c>
      <c r="DH24" s="3432">
        <v>8</v>
      </c>
      <c r="DI24" s="3432">
        <v>8</v>
      </c>
      <c r="DJ24" s="3432">
        <v>8</v>
      </c>
      <c r="DK24" s="3432">
        <v>8</v>
      </c>
      <c r="DL24" s="3432">
        <v>8</v>
      </c>
      <c r="DM24" s="3432">
        <v>8</v>
      </c>
      <c r="DN24" s="3432">
        <v>8</v>
      </c>
      <c r="DO24" s="3432">
        <v>8</v>
      </c>
      <c r="DP24" s="3432">
        <v>8</v>
      </c>
      <c r="DQ24" s="3432">
        <v>8</v>
      </c>
      <c r="DR24" s="3432">
        <v>8</v>
      </c>
      <c r="DS24" s="3432">
        <v>8</v>
      </c>
      <c r="DT24" s="3432">
        <v>8</v>
      </c>
      <c r="DU24" s="3432">
        <v>8</v>
      </c>
      <c r="DV24" s="3432">
        <v>8</v>
      </c>
      <c r="DW24" s="3432">
        <v>8</v>
      </c>
      <c r="DX24" s="3432">
        <v>8</v>
      </c>
      <c r="DY24" s="3432">
        <v>8</v>
      </c>
      <c r="DZ24" s="3432">
        <v>8</v>
      </c>
      <c r="EA24" s="3432">
        <v>8</v>
      </c>
      <c r="EB24" s="3432">
        <v>8</v>
      </c>
      <c r="EC24" s="3432">
        <v>8</v>
      </c>
      <c r="ED24" s="3432">
        <v>8</v>
      </c>
      <c r="EE24" s="3432">
        <v>8</v>
      </c>
      <c r="EF24" s="3432">
        <v>8</v>
      </c>
      <c r="EG24" s="3432">
        <v>8</v>
      </c>
      <c r="EH24" s="3432">
        <v>8</v>
      </c>
      <c r="EI24" s="3432">
        <v>8</v>
      </c>
      <c r="EJ24" s="3432">
        <v>8</v>
      </c>
      <c r="EK24" s="3432">
        <v>8</v>
      </c>
      <c r="EL24" s="3432">
        <v>8</v>
      </c>
      <c r="EM24" s="3432">
        <v>8</v>
      </c>
      <c r="EN24" s="3432">
        <v>8</v>
      </c>
      <c r="EO24" s="3432">
        <v>8</v>
      </c>
      <c r="EP24" s="3432">
        <v>8</v>
      </c>
      <c r="EQ24" s="3432">
        <v>8</v>
      </c>
      <c r="ER24" s="3432">
        <v>8</v>
      </c>
      <c r="ES24" s="3432">
        <v>8</v>
      </c>
      <c r="ET24" s="3432">
        <v>8</v>
      </c>
      <c r="EU24" s="3432">
        <v>8</v>
      </c>
      <c r="EV24" s="3432">
        <v>8</v>
      </c>
      <c r="EW24" s="3432">
        <v>8</v>
      </c>
      <c r="EX24" s="3432">
        <v>8</v>
      </c>
      <c r="EY24" s="3432">
        <v>8</v>
      </c>
      <c r="EZ24" s="3432">
        <v>8</v>
      </c>
      <c r="FA24" s="3432">
        <v>8</v>
      </c>
      <c r="FB24" s="3432">
        <v>8</v>
      </c>
      <c r="FC24" s="3432">
        <v>8</v>
      </c>
      <c r="FD24" s="3432">
        <v>8</v>
      </c>
      <c r="FE24" s="3432">
        <v>8</v>
      </c>
      <c r="FF24" s="3432">
        <v>8</v>
      </c>
      <c r="FG24" s="3432">
        <v>8</v>
      </c>
      <c r="FH24" s="3432">
        <v>8</v>
      </c>
      <c r="FI24" s="3432">
        <v>8</v>
      </c>
      <c r="FJ24" s="3432">
        <v>8</v>
      </c>
      <c r="FK24" s="3432">
        <v>8</v>
      </c>
      <c r="FL24" s="3432">
        <v>8</v>
      </c>
      <c r="FM24" s="3432">
        <v>8</v>
      </c>
      <c r="FN24" s="3432">
        <v>8</v>
      </c>
      <c r="FO24" s="3432">
        <v>8</v>
      </c>
      <c r="FP24" s="3432">
        <v>8</v>
      </c>
      <c r="FQ24" s="3432">
        <v>8</v>
      </c>
      <c r="FR24" s="3432">
        <v>8</v>
      </c>
      <c r="FS24" s="3432">
        <v>8</v>
      </c>
      <c r="FT24" s="3432">
        <v>8</v>
      </c>
      <c r="FU24" s="3432">
        <v>8</v>
      </c>
      <c r="FV24" s="3432">
        <v>8</v>
      </c>
      <c r="FW24" s="3432">
        <v>8</v>
      </c>
      <c r="FX24" s="3432">
        <v>8</v>
      </c>
      <c r="FY24" s="3432">
        <v>8</v>
      </c>
      <c r="FZ24" s="3432">
        <v>8</v>
      </c>
      <c r="GA24" s="3432">
        <v>8</v>
      </c>
      <c r="GB24" s="3432">
        <v>8</v>
      </c>
      <c r="GC24" s="3432">
        <v>8</v>
      </c>
      <c r="GD24" s="3432">
        <v>8</v>
      </c>
      <c r="GE24" s="3432">
        <v>8</v>
      </c>
      <c r="GF24" s="3432">
        <v>8</v>
      </c>
      <c r="GG24" s="3432">
        <v>8</v>
      </c>
      <c r="GH24" s="3432">
        <v>8</v>
      </c>
      <c r="GI24" s="3432">
        <v>8</v>
      </c>
      <c r="GJ24" s="3432">
        <v>8</v>
      </c>
      <c r="GK24" s="3432">
        <v>8</v>
      </c>
      <c r="GL24" s="3432">
        <v>8</v>
      </c>
      <c r="GM24" s="3432">
        <v>8</v>
      </c>
      <c r="GN24" s="3432">
        <v>8</v>
      </c>
      <c r="GO24" s="3432">
        <v>8</v>
      </c>
      <c r="GP24" s="3432">
        <v>8</v>
      </c>
      <c r="GQ24" s="3432">
        <v>8</v>
      </c>
      <c r="GR24" s="3432">
        <v>8</v>
      </c>
      <c r="GS24" s="3432">
        <v>8</v>
      </c>
      <c r="GT24" s="3432">
        <v>8</v>
      </c>
      <c r="GU24" s="3432">
        <v>8</v>
      </c>
      <c r="GV24" s="3432">
        <v>8</v>
      </c>
      <c r="GW24" s="3432">
        <v>8</v>
      </c>
      <c r="GX24" s="3432">
        <v>8</v>
      </c>
      <c r="GY24" s="3432">
        <v>8</v>
      </c>
      <c r="GZ24" s="3432">
        <v>8</v>
      </c>
      <c r="HA24" s="3432">
        <v>8</v>
      </c>
      <c r="HB24" s="3432">
        <v>8</v>
      </c>
      <c r="HC24" s="3432">
        <v>8</v>
      </c>
      <c r="HD24" s="3432">
        <v>8</v>
      </c>
      <c r="HE24" s="3432">
        <v>8</v>
      </c>
      <c r="HF24" s="3432">
        <v>8</v>
      </c>
      <c r="HG24" s="3432">
        <v>8</v>
      </c>
      <c r="HH24" s="3432">
        <v>8</v>
      </c>
      <c r="HI24" s="3432">
        <v>8</v>
      </c>
      <c r="HJ24" s="3432">
        <v>8</v>
      </c>
      <c r="HK24" s="3432">
        <v>8</v>
      </c>
      <c r="HL24" s="3432">
        <v>8</v>
      </c>
      <c r="HM24" s="3432">
        <v>8</v>
      </c>
      <c r="HN24" s="3432">
        <v>8</v>
      </c>
      <c r="HO24" s="3432">
        <v>8</v>
      </c>
      <c r="HP24" s="3432">
        <v>8</v>
      </c>
      <c r="HQ24" s="3432">
        <v>8</v>
      </c>
      <c r="HR24" s="3432">
        <v>8</v>
      </c>
      <c r="HS24" s="3432">
        <v>8</v>
      </c>
      <c r="HT24" s="3432">
        <v>8</v>
      </c>
      <c r="HU24" s="3432">
        <v>8</v>
      </c>
      <c r="HV24" s="3432">
        <v>8</v>
      </c>
      <c r="HW24" s="3432">
        <v>8</v>
      </c>
      <c r="HX24" s="3432">
        <v>8</v>
      </c>
      <c r="HY24" s="3432">
        <v>8</v>
      </c>
      <c r="HZ24" s="3432">
        <v>8</v>
      </c>
      <c r="IA24" s="3432">
        <v>8</v>
      </c>
      <c r="IB24" s="3432">
        <v>8</v>
      </c>
      <c r="IC24" s="3432">
        <v>8</v>
      </c>
      <c r="ID24" s="3432">
        <v>8</v>
      </c>
      <c r="IE24" s="3432">
        <v>8</v>
      </c>
      <c r="IF24" s="3432">
        <v>8</v>
      </c>
      <c r="IG24" s="3432">
        <v>8</v>
      </c>
      <c r="IH24" s="3432">
        <v>8</v>
      </c>
      <c r="II24" s="3432">
        <v>8</v>
      </c>
      <c r="IJ24" s="3432">
        <v>8</v>
      </c>
      <c r="IK24" s="3432">
        <v>8</v>
      </c>
      <c r="IL24" s="3432">
        <v>8</v>
      </c>
      <c r="IM24" s="3432">
        <v>8</v>
      </c>
      <c r="IN24" s="3432">
        <v>8</v>
      </c>
      <c r="IO24" s="3432">
        <v>8</v>
      </c>
      <c r="IP24" s="3432">
        <v>8</v>
      </c>
      <c r="IQ24" s="3432">
        <v>8</v>
      </c>
      <c r="IR24" s="3432">
        <v>8</v>
      </c>
      <c r="IS24" s="3432">
        <v>8</v>
      </c>
      <c r="IT24" s="3432">
        <v>8</v>
      </c>
      <c r="IU24" s="343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1CD78-870B-1D13-34B6-D29F6F704CAB}" mc:Ignorable="x14ac xr xr2 xr3">
  <dimension ref="A1:IW15"/>
  <sheetViews>
    <sheetView topLeftCell="A1" showGridLines="0" zoomScale="90" workbookViewId="0">
      <selection activeCell="A1" sqref="A1"/>
    </sheetView>
  </sheetViews>
  <sheetFormatPr defaultColWidth="9.140625" customHeight="1" defaultRowHeight="14.25"/>
  <cols>
    <col min="1" max="2" style="7348" width="9.140625" hidden="1"/>
    <col min="3" max="3" style="7348" width="3.7109375" hidden="1" customWidth="1"/>
    <col min="4" max="4" style="7348" width="3.00390625" customWidth="1"/>
    <col min="5" max="5" style="7348" width="6.00390625" customWidth="1"/>
    <col min="6" max="6" style="7348" width="27.00390625" customWidth="1"/>
    <col min="7" max="7" style="7348" width="16.00390625" customWidth="1"/>
    <col min="8" max="8" style="7348" width="12.00390625" customWidth="1"/>
    <col min="9" max="9" style="7348" width="32.00390625" customWidth="1"/>
    <col min="10" max="11" style="7348" width="41.00390625" customWidth="1"/>
    <col min="12" max="12" style="7348" width="89.00390625" customWidth="1"/>
    <col min="13" max="13" style="7348" width="3.00390625" customWidth="1"/>
    <col min="14" max="16" style="7348" width="8.00390625" customWidth="1"/>
    <col min="17" max="17" style="7348" width="25.00390625" customWidth="1"/>
    <col min="18" max="18" style="7348" width="14.00390625" customWidth="1"/>
    <col min="19" max="256" style="7348" width="8.00390625" customWidth="1"/>
    <col min="257" max="257" style="7348" width="9.140625" hidden="1"/>
  </cols>
  <sheetData>
    <row customHeight="1" ht="22.5" hidden="1">
      <c r="IW1" s="3432" t="s">
        <v>14</v>
      </c>
    </row>
    <row customHeight="1" ht="22.5" hidden="1">
      <c r="B2" s="3449">
        <v>1</v>
      </c>
      <c r="D2" s="3693" t="s">
        <v>119</v>
      </c>
      <c r="E2" s="3437"/>
      <c r="F2" s="3806" t="str">
        <f>IF(ROIV_INFO_NAME="","",ROIV_INFO_NAME)</f>
        <v>ООО "ТеплоЭлектроГенерирующая Компания"</v>
      </c>
      <c r="G2" s="1247" t="s">
        <v>22</v>
      </c>
      <c r="H2" s="1248"/>
      <c r="I2" s="1243"/>
      <c r="J2" s="812"/>
      <c r="K2" s="812"/>
      <c r="M2" s="4037">
        <f>MERGEVALUE(F2)</f>
      </c>
      <c r="P2" s="3479" t="str">
        <f t="array" ref="P2:P2">IF(ISERROR(MATCH(MID(Q2,1,250),MID(note_ter,1,250),0)),"n","y")</f>
        <v>n</v>
      </c>
      <c r="R2" s="3479" t="str">
        <f>G2&amp;"("&amp;L2&amp;")"</f>
        <v>()</v>
      </c>
      <c r="IW2" s="164">
        <v>0</v>
      </c>
    </row>
    <row customHeight="1" ht="5.25" hidden="1">
      <c r="F3" s="3470" t="s">
        <v>81</v>
      </c>
      <c r="G3" s="1250" t="s">
        <v>82</v>
      </c>
      <c r="L3" s="3472" t="s">
        <v>83</v>
      </c>
      <c r="M3" s="3470" t="s">
        <v>81</v>
      </c>
      <c r="IW3" s="3473">
        <v>0</v>
      </c>
    </row>
    <row customHeight="1" ht="14.699999999999998">
      <c r="IW4" s="3475">
        <v>14</v>
      </c>
    </row>
    <row customHeight="1" ht="27.299999999999997">
      <c r="E5" s="34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3476"/>
      <c r="G5" s="3476"/>
      <c r="H5" s="3476"/>
      <c r="I5" s="3476"/>
      <c r="J5" s="3476"/>
      <c r="K5" s="3476"/>
      <c r="IW5" s="3475">
        <v>26</v>
      </c>
    </row>
    <row customHeight="1" ht="14.699999999999998">
      <c r="IW6" s="3475">
        <v>14</v>
      </c>
    </row>
    <row customHeight="1" ht="14.699999999999998">
      <c r="E7" s="3437" t="s">
        <v>315</v>
      </c>
      <c r="F7" s="3477"/>
      <c r="G7" s="3477"/>
      <c r="H7" s="3477"/>
      <c r="I7" s="3477"/>
      <c r="J7" s="3477"/>
      <c r="K7" s="3477"/>
      <c r="L7" s="1129" t="s">
        <v>316</v>
      </c>
      <c r="IW7" s="3475">
        <v>14</v>
      </c>
    </row>
    <row customHeight="1" ht="67.2">
      <c r="E8" s="1240" t="s">
        <v>86</v>
      </c>
      <c r="F8" s="124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251"/>
      <c r="I8" s="1252"/>
      <c r="J8" s="124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253"/>
      <c r="IW8" s="3475">
        <v>64</v>
      </c>
    </row>
    <row customHeight="1" ht="29.25">
      <c r="E9" s="1254"/>
      <c r="F9" s="1254"/>
      <c r="G9" s="1254" t="s">
        <v>1898</v>
      </c>
      <c r="H9" s="1254" t="s">
        <v>1899</v>
      </c>
      <c r="I9" s="1254" t="s">
        <v>1900</v>
      </c>
      <c r="J9" s="1254"/>
      <c r="K9" s="1254"/>
      <c r="L9" s="1241"/>
      <c r="IW9" s="3475">
        <v>28</v>
      </c>
    </row>
    <row customHeight="1" ht="23.25">
      <c r="B10" s="3449">
        <v>1</v>
      </c>
      <c r="D10" s="3482"/>
      <c r="E10" s="3483">
        <v>1</v>
      </c>
      <c r="F10" s="4038" t="str">
        <f>IF(ROIV_INFO_NAME="","",ROIV_INFO_NAME)</f>
        <v>ООО "ТеплоЭлектроГенерирующая Компания"</v>
      </c>
      <c r="G10" s="99" t="s">
        <v>22</v>
      </c>
      <c r="H10" s="1248"/>
      <c r="I10" s="1256"/>
      <c r="J10" s="812"/>
      <c r="K10" s="812"/>
      <c r="L10" s="40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4037">
        <f>MERGEVALUE(F10)</f>
      </c>
      <c r="P10" s="3479" t="str">
        <f t="array" ref="P10:P10">IF(ISERROR(MATCH(MID(Q10,1,250),MID(note_ter,1,250),0)),"n","y")</f>
        <v>n</v>
      </c>
      <c r="R10" s="34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64">
        <v>22</v>
      </c>
    </row>
    <row customHeight="1" ht="15.75">
      <c r="E11" s="165"/>
      <c r="F11" s="172" t="s">
        <v>1901</v>
      </c>
      <c r="G11" s="168"/>
      <c r="H11" s="168"/>
      <c r="I11" s="168"/>
      <c r="J11" s="168"/>
      <c r="K11" s="169"/>
      <c r="L11" s="4039"/>
      <c r="IW11" s="164">
        <v>15</v>
      </c>
    </row>
    <row customHeight="1" ht="22.049999999999997">
      <c r="E12" s="3485"/>
      <c r="F12" s="3485"/>
      <c r="G12" s="3485"/>
      <c r="H12" s="3485"/>
      <c r="I12" s="3485"/>
      <c r="J12" s="3485"/>
      <c r="K12" s="3485"/>
      <c r="L12" s="3485"/>
      <c r="IW12" s="3475">
        <v>21</v>
      </c>
    </row>
    <row customHeight="1" ht="14.699999999999998">
      <c r="IW13" s="3475">
        <v>14</v>
      </c>
    </row>
    <row customHeight="1" ht="1.05">
      <c r="IW14" s="3475">
        <v>1</v>
      </c>
    </row>
    <row customHeight="1" ht="22.5" hidden="1">
      <c r="A15" s="3432" t="s">
        <v>80</v>
      </c>
      <c r="B15" s="3449">
        <v>0</v>
      </c>
      <c r="C15" s="3432">
        <v>0</v>
      </c>
      <c r="D15" s="3487">
        <v>3</v>
      </c>
      <c r="E15" s="3432">
        <v>6</v>
      </c>
      <c r="F15" s="3432">
        <v>27</v>
      </c>
      <c r="G15" s="3432">
        <v>16</v>
      </c>
      <c r="H15" s="3432">
        <v>12</v>
      </c>
      <c r="I15" s="3432">
        <v>32</v>
      </c>
      <c r="J15" s="3432">
        <v>41</v>
      </c>
      <c r="K15" s="3432">
        <v>41</v>
      </c>
      <c r="L15" s="3432">
        <v>89</v>
      </c>
      <c r="M15" s="3479">
        <v>3</v>
      </c>
      <c r="N15" s="3479">
        <v>8</v>
      </c>
      <c r="O15" s="3479">
        <v>8</v>
      </c>
      <c r="P15" s="3479">
        <v>8</v>
      </c>
      <c r="Q15" s="3479">
        <v>25</v>
      </c>
      <c r="R15" s="3479">
        <v>14</v>
      </c>
      <c r="S15" s="3488">
        <v>8</v>
      </c>
      <c r="T15" s="3488">
        <v>8</v>
      </c>
      <c r="U15" s="3488">
        <v>8</v>
      </c>
      <c r="V15" s="3488">
        <v>8</v>
      </c>
      <c r="W15" s="3432">
        <v>8</v>
      </c>
      <c r="X15" s="3432">
        <v>8</v>
      </c>
      <c r="Y15" s="3432">
        <v>8</v>
      </c>
      <c r="Z15" s="3432">
        <v>8</v>
      </c>
      <c r="AA15" s="3432">
        <v>8</v>
      </c>
      <c r="AB15" s="3432">
        <v>8</v>
      </c>
      <c r="AC15" s="3432">
        <v>8</v>
      </c>
      <c r="AD15" s="3432">
        <v>8</v>
      </c>
      <c r="AE15" s="3432">
        <v>8</v>
      </c>
      <c r="AF15" s="3432">
        <v>8</v>
      </c>
      <c r="AG15" s="3432">
        <v>8</v>
      </c>
      <c r="AH15" s="3432">
        <v>8</v>
      </c>
      <c r="AI15" s="3432">
        <v>8</v>
      </c>
      <c r="AJ15" s="3432">
        <v>8</v>
      </c>
      <c r="AK15" s="3432">
        <v>8</v>
      </c>
      <c r="AL15" s="3432">
        <v>8</v>
      </c>
      <c r="AM15" s="3432">
        <v>8</v>
      </c>
      <c r="AN15" s="3432">
        <v>8</v>
      </c>
      <c r="AO15" s="3432">
        <v>8</v>
      </c>
      <c r="AP15" s="3432">
        <v>8</v>
      </c>
      <c r="AQ15" s="3432">
        <v>8</v>
      </c>
      <c r="AR15" s="3432">
        <v>8</v>
      </c>
      <c r="AS15" s="3432">
        <v>8</v>
      </c>
      <c r="AT15" s="3432">
        <v>8</v>
      </c>
      <c r="AU15" s="3432">
        <v>8</v>
      </c>
      <c r="AV15" s="3432">
        <v>8</v>
      </c>
      <c r="AW15" s="3432">
        <v>8</v>
      </c>
      <c r="AX15" s="3432">
        <v>8</v>
      </c>
      <c r="AY15" s="3432">
        <v>8</v>
      </c>
      <c r="AZ15" s="3432">
        <v>8</v>
      </c>
      <c r="BA15" s="3432">
        <v>8</v>
      </c>
      <c r="BB15" s="3432">
        <v>8</v>
      </c>
      <c r="BC15" s="3432">
        <v>8</v>
      </c>
      <c r="BD15" s="3432">
        <v>8</v>
      </c>
      <c r="BE15" s="3432">
        <v>8</v>
      </c>
      <c r="BF15" s="3432">
        <v>8</v>
      </c>
      <c r="BG15" s="3432">
        <v>8</v>
      </c>
      <c r="BH15" s="3432">
        <v>8</v>
      </c>
      <c r="BI15" s="3432">
        <v>8</v>
      </c>
      <c r="BJ15" s="3432">
        <v>8</v>
      </c>
      <c r="BK15" s="3432">
        <v>8</v>
      </c>
      <c r="BL15" s="3432">
        <v>8</v>
      </c>
      <c r="BM15" s="3432">
        <v>8</v>
      </c>
      <c r="BN15" s="3432">
        <v>8</v>
      </c>
      <c r="BO15" s="3432">
        <v>8</v>
      </c>
      <c r="BP15" s="3432">
        <v>8</v>
      </c>
      <c r="BQ15" s="3432">
        <v>8</v>
      </c>
      <c r="BR15" s="3432">
        <v>8</v>
      </c>
      <c r="BS15" s="3432">
        <v>8</v>
      </c>
      <c r="BT15" s="3432">
        <v>8</v>
      </c>
      <c r="BU15" s="3432">
        <v>8</v>
      </c>
      <c r="BV15" s="3432">
        <v>8</v>
      </c>
      <c r="BW15" s="3432">
        <v>8</v>
      </c>
      <c r="BX15" s="3432">
        <v>8</v>
      </c>
      <c r="BY15" s="3432">
        <v>8</v>
      </c>
      <c r="BZ15" s="3432">
        <v>8</v>
      </c>
      <c r="CA15" s="3432">
        <v>8</v>
      </c>
      <c r="CB15" s="3432">
        <v>8</v>
      </c>
      <c r="CC15" s="3432">
        <v>8</v>
      </c>
      <c r="CD15" s="3432">
        <v>8</v>
      </c>
      <c r="CE15" s="3432">
        <v>8</v>
      </c>
      <c r="CF15" s="3432">
        <v>8</v>
      </c>
      <c r="CG15" s="3432">
        <v>8</v>
      </c>
      <c r="CH15" s="3432">
        <v>8</v>
      </c>
      <c r="CI15" s="3432">
        <v>8</v>
      </c>
      <c r="CJ15" s="3432">
        <v>8</v>
      </c>
      <c r="CK15" s="3432">
        <v>8</v>
      </c>
      <c r="CL15" s="3432">
        <v>8</v>
      </c>
      <c r="CM15" s="3432">
        <v>8</v>
      </c>
      <c r="CN15" s="3432">
        <v>8</v>
      </c>
      <c r="CO15" s="3432">
        <v>8</v>
      </c>
      <c r="CP15" s="3432">
        <v>8</v>
      </c>
      <c r="CQ15" s="3432">
        <v>8</v>
      </c>
      <c r="CR15" s="3432">
        <v>8</v>
      </c>
      <c r="CS15" s="3432">
        <v>8</v>
      </c>
      <c r="CT15" s="3432">
        <v>8</v>
      </c>
      <c r="CU15" s="3432">
        <v>8</v>
      </c>
      <c r="CV15" s="3432">
        <v>8</v>
      </c>
      <c r="CW15" s="3432">
        <v>8</v>
      </c>
      <c r="CX15" s="3432">
        <v>8</v>
      </c>
      <c r="CY15" s="3432">
        <v>8</v>
      </c>
      <c r="CZ15" s="3432">
        <v>8</v>
      </c>
      <c r="DA15" s="3432">
        <v>8</v>
      </c>
      <c r="DB15" s="3432">
        <v>8</v>
      </c>
      <c r="DC15" s="3432">
        <v>8</v>
      </c>
      <c r="DD15" s="3432">
        <v>8</v>
      </c>
      <c r="DE15" s="3432">
        <v>8</v>
      </c>
      <c r="DF15" s="3432">
        <v>8</v>
      </c>
      <c r="DG15" s="3432">
        <v>8</v>
      </c>
      <c r="DH15" s="3432">
        <v>8</v>
      </c>
      <c r="DI15" s="3432">
        <v>8</v>
      </c>
      <c r="DJ15" s="3432">
        <v>8</v>
      </c>
      <c r="DK15" s="3432">
        <v>8</v>
      </c>
      <c r="DL15" s="3432">
        <v>8</v>
      </c>
      <c r="DM15" s="3432">
        <v>8</v>
      </c>
      <c r="DN15" s="3432">
        <v>8</v>
      </c>
      <c r="DO15" s="3432">
        <v>8</v>
      </c>
      <c r="DP15" s="3432">
        <v>8</v>
      </c>
      <c r="DQ15" s="3432">
        <v>8</v>
      </c>
      <c r="DR15" s="3432">
        <v>8</v>
      </c>
      <c r="DS15" s="3432">
        <v>8</v>
      </c>
      <c r="DT15" s="3432">
        <v>8</v>
      </c>
      <c r="DU15" s="3432">
        <v>8</v>
      </c>
      <c r="DV15" s="3432">
        <v>8</v>
      </c>
      <c r="DW15" s="3432">
        <v>8</v>
      </c>
      <c r="DX15" s="3432">
        <v>8</v>
      </c>
      <c r="DY15" s="3432">
        <v>8</v>
      </c>
      <c r="DZ15" s="3432">
        <v>8</v>
      </c>
      <c r="EA15" s="3432">
        <v>8</v>
      </c>
      <c r="EB15" s="3432">
        <v>8</v>
      </c>
      <c r="EC15" s="3432">
        <v>8</v>
      </c>
      <c r="ED15" s="3432">
        <v>8</v>
      </c>
      <c r="EE15" s="3432">
        <v>8</v>
      </c>
      <c r="EF15" s="3432">
        <v>8</v>
      </c>
      <c r="EG15" s="3432">
        <v>8</v>
      </c>
      <c r="EH15" s="3432">
        <v>8</v>
      </c>
      <c r="EI15" s="3432">
        <v>8</v>
      </c>
      <c r="EJ15" s="3432">
        <v>8</v>
      </c>
      <c r="EK15" s="3432">
        <v>8</v>
      </c>
      <c r="EL15" s="3432">
        <v>8</v>
      </c>
      <c r="EM15" s="3432">
        <v>8</v>
      </c>
      <c r="EN15" s="3432">
        <v>8</v>
      </c>
      <c r="EO15" s="3432">
        <v>8</v>
      </c>
      <c r="EP15" s="3432">
        <v>8</v>
      </c>
      <c r="EQ15" s="3432">
        <v>8</v>
      </c>
      <c r="ER15" s="3432">
        <v>8</v>
      </c>
      <c r="ES15" s="3432">
        <v>8</v>
      </c>
      <c r="ET15" s="3432">
        <v>8</v>
      </c>
      <c r="EU15" s="3432">
        <v>8</v>
      </c>
      <c r="EV15" s="3432">
        <v>8</v>
      </c>
      <c r="EW15" s="3432">
        <v>8</v>
      </c>
      <c r="EX15" s="3432">
        <v>8</v>
      </c>
      <c r="EY15" s="3432">
        <v>8</v>
      </c>
      <c r="EZ15" s="3432">
        <v>8</v>
      </c>
      <c r="FA15" s="3432">
        <v>8</v>
      </c>
      <c r="FB15" s="3432">
        <v>8</v>
      </c>
      <c r="FC15" s="3432">
        <v>8</v>
      </c>
      <c r="FD15" s="3432">
        <v>8</v>
      </c>
      <c r="FE15" s="3432">
        <v>8</v>
      </c>
      <c r="FF15" s="3432">
        <v>8</v>
      </c>
      <c r="FG15" s="3432">
        <v>8</v>
      </c>
      <c r="FH15" s="3432">
        <v>8</v>
      </c>
      <c r="FI15" s="3432">
        <v>8</v>
      </c>
      <c r="FJ15" s="3432">
        <v>8</v>
      </c>
      <c r="FK15" s="3432">
        <v>8</v>
      </c>
      <c r="FL15" s="3432">
        <v>8</v>
      </c>
      <c r="FM15" s="3432">
        <v>8</v>
      </c>
      <c r="FN15" s="3432">
        <v>8</v>
      </c>
      <c r="FO15" s="3432">
        <v>8</v>
      </c>
      <c r="FP15" s="3432">
        <v>8</v>
      </c>
      <c r="FQ15" s="3432">
        <v>8</v>
      </c>
      <c r="FR15" s="3432">
        <v>8</v>
      </c>
      <c r="FS15" s="3432">
        <v>8</v>
      </c>
      <c r="FT15" s="3432">
        <v>8</v>
      </c>
      <c r="FU15" s="3432">
        <v>8</v>
      </c>
      <c r="FV15" s="3432">
        <v>8</v>
      </c>
      <c r="FW15" s="3432">
        <v>8</v>
      </c>
      <c r="FX15" s="3432">
        <v>8</v>
      </c>
      <c r="FY15" s="3432">
        <v>8</v>
      </c>
      <c r="FZ15" s="3432">
        <v>8</v>
      </c>
      <c r="GA15" s="3432">
        <v>8</v>
      </c>
      <c r="GB15" s="3432">
        <v>8</v>
      </c>
      <c r="GC15" s="3432">
        <v>8</v>
      </c>
      <c r="GD15" s="3432">
        <v>8</v>
      </c>
      <c r="GE15" s="3432">
        <v>8</v>
      </c>
      <c r="GF15" s="3432">
        <v>8</v>
      </c>
      <c r="GG15" s="3432">
        <v>8</v>
      </c>
      <c r="GH15" s="3432">
        <v>8</v>
      </c>
      <c r="GI15" s="3432">
        <v>8</v>
      </c>
      <c r="GJ15" s="3432">
        <v>8</v>
      </c>
      <c r="GK15" s="3432">
        <v>8</v>
      </c>
      <c r="GL15" s="3432">
        <v>8</v>
      </c>
      <c r="GM15" s="3432">
        <v>8</v>
      </c>
      <c r="GN15" s="3432">
        <v>8</v>
      </c>
      <c r="GO15" s="3432">
        <v>8</v>
      </c>
      <c r="GP15" s="3432">
        <v>8</v>
      </c>
      <c r="GQ15" s="3432">
        <v>8</v>
      </c>
      <c r="GR15" s="3432">
        <v>8</v>
      </c>
      <c r="GS15" s="3432">
        <v>8</v>
      </c>
      <c r="GT15" s="3432">
        <v>8</v>
      </c>
      <c r="GU15" s="3432">
        <v>8</v>
      </c>
      <c r="GV15" s="3432">
        <v>8</v>
      </c>
      <c r="GW15" s="3432">
        <v>8</v>
      </c>
      <c r="GX15" s="3432">
        <v>8</v>
      </c>
      <c r="GY15" s="3432">
        <v>8</v>
      </c>
      <c r="GZ15" s="3432">
        <v>8</v>
      </c>
      <c r="HA15" s="3432">
        <v>8</v>
      </c>
      <c r="HB15" s="3432">
        <v>8</v>
      </c>
      <c r="HC15" s="3432">
        <v>8</v>
      </c>
      <c r="HD15" s="3432">
        <v>8</v>
      </c>
      <c r="HE15" s="3432">
        <v>8</v>
      </c>
      <c r="HF15" s="3432">
        <v>8</v>
      </c>
      <c r="HG15" s="3432">
        <v>8</v>
      </c>
      <c r="HH15" s="3432">
        <v>8</v>
      </c>
      <c r="HI15" s="3432">
        <v>8</v>
      </c>
      <c r="HJ15" s="3432">
        <v>8</v>
      </c>
      <c r="HK15" s="3432">
        <v>8</v>
      </c>
      <c r="HL15" s="3432">
        <v>8</v>
      </c>
      <c r="HM15" s="3432">
        <v>8</v>
      </c>
      <c r="HN15" s="3432">
        <v>8</v>
      </c>
      <c r="HO15" s="3432">
        <v>8</v>
      </c>
      <c r="HP15" s="3432">
        <v>8</v>
      </c>
      <c r="HQ15" s="3432">
        <v>8</v>
      </c>
      <c r="HR15" s="3432">
        <v>8</v>
      </c>
      <c r="HS15" s="3432">
        <v>8</v>
      </c>
      <c r="HT15" s="3432">
        <v>8</v>
      </c>
      <c r="HU15" s="3432">
        <v>8</v>
      </c>
      <c r="HV15" s="3432">
        <v>8</v>
      </c>
      <c r="HW15" s="3432">
        <v>8</v>
      </c>
      <c r="HX15" s="3432">
        <v>8</v>
      </c>
      <c r="HY15" s="3432">
        <v>8</v>
      </c>
      <c r="HZ15" s="3432">
        <v>8</v>
      </c>
      <c r="IA15" s="3432">
        <v>8</v>
      </c>
      <c r="IB15" s="3432">
        <v>8</v>
      </c>
      <c r="IC15" s="3432">
        <v>8</v>
      </c>
      <c r="ID15" s="3432">
        <v>8</v>
      </c>
      <c r="IE15" s="3432">
        <v>8</v>
      </c>
      <c r="IF15" s="3432">
        <v>8</v>
      </c>
      <c r="IG15" s="3432">
        <v>8</v>
      </c>
      <c r="IH15" s="3432">
        <v>8</v>
      </c>
      <c r="II15" s="3432">
        <v>8</v>
      </c>
      <c r="IJ15" s="3432">
        <v>8</v>
      </c>
      <c r="IK15" s="3432">
        <v>8</v>
      </c>
      <c r="IL15" s="3432">
        <v>8</v>
      </c>
      <c r="IM15" s="3432">
        <v>8</v>
      </c>
      <c r="IN15" s="3432">
        <v>8</v>
      </c>
      <c r="IO15" s="3432">
        <v>8</v>
      </c>
      <c r="IP15" s="3432">
        <v>8</v>
      </c>
      <c r="IQ15" s="3432">
        <v>8</v>
      </c>
      <c r="IR15" s="3432">
        <v>8</v>
      </c>
      <c r="IS15" s="3432">
        <v>8</v>
      </c>
      <c r="IT15" s="3432">
        <v>8</v>
      </c>
      <c r="IU15" s="3432">
        <v>8</v>
      </c>
      <c r="IV15" s="3432">
        <v>8</v>
      </c>
      <c r="IW15" s="343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AC7DB-C505-F619-EDB4-B883D068656B}" mc:Ignorable="x14ac xr xr2 xr3">
  <dimension ref="A1:IW15"/>
  <sheetViews>
    <sheetView topLeftCell="A1" showGridLines="0" zoomScale="90" workbookViewId="0">
      <selection activeCell="A1" sqref="A1"/>
    </sheetView>
  </sheetViews>
  <sheetFormatPr defaultColWidth="9.140625" customHeight="1" defaultRowHeight="14.25"/>
  <cols>
    <col min="1" max="2" style="7348" width="9.140625" hidden="1"/>
    <col min="3" max="3" style="7348" width="3.7109375" hidden="1" customWidth="1"/>
    <col min="4" max="4" style="7348" width="3.00390625" customWidth="1"/>
    <col min="5" max="5" style="7348" width="6.00390625" customWidth="1"/>
    <col min="6" max="6" style="7348" width="27.00390625" customWidth="1"/>
    <col min="7" max="7" style="7348" width="16.00390625" customWidth="1"/>
    <col min="8" max="8" style="7348" width="12.00390625" customWidth="1"/>
    <col min="9" max="9" style="7348" width="32.00390625" customWidth="1"/>
    <col min="10" max="11" style="7348" width="41.00390625" customWidth="1"/>
    <col min="12" max="12" style="7348" width="89.00390625" customWidth="1"/>
    <col min="13" max="13" style="7348" width="3.00390625" customWidth="1"/>
    <col min="14" max="16" style="7348" width="8.00390625" customWidth="1"/>
    <col min="17" max="17" style="7348" width="25.00390625" customWidth="1"/>
    <col min="18" max="18" style="7348" width="14.00390625" customWidth="1"/>
    <col min="19" max="256" style="7348" width="8.00390625" customWidth="1"/>
    <col min="257" max="257" style="7348" width="9.140625" hidden="1"/>
  </cols>
  <sheetData>
    <row customHeight="1" ht="22.5" hidden="1">
      <c r="IW1" s="3432" t="s">
        <v>14</v>
      </c>
    </row>
    <row customHeight="1" ht="22.5" hidden="1">
      <c r="B2" s="3449">
        <v>1</v>
      </c>
      <c r="D2" s="3693" t="s">
        <v>119</v>
      </c>
      <c r="E2" s="3480"/>
      <c r="F2" s="3806" t="str">
        <f>IF(ROIV_INFO_NAME="","",ROIV_INFO_NAME)</f>
        <v>ООО "ТеплоЭлектроГенерирующая Компания"</v>
      </c>
      <c r="G2" s="99" t="s">
        <v>22</v>
      </c>
      <c r="H2" s="1248"/>
      <c r="I2" s="1243"/>
      <c r="J2" s="812"/>
      <c r="K2" s="812"/>
      <c r="M2" s="4037">
        <f>MERGEVALUE(F2)</f>
      </c>
      <c r="P2" s="3479" t="str">
        <f t="array" ref="P2:P2">IF(ISERROR(MATCH(MID(Q2,1,250),MID(note_ter,1,250),0)),"n","y")</f>
        <v>n</v>
      </c>
      <c r="R2" s="3479" t="str">
        <f>G2&amp;"("&amp;L2&amp;")"</f>
        <v>()</v>
      </c>
      <c r="IW2" s="164">
        <v>0</v>
      </c>
    </row>
    <row customHeight="1" ht="5.25" hidden="1">
      <c r="F3" s="3470" t="s">
        <v>81</v>
      </c>
      <c r="G3" s="1250" t="s">
        <v>82</v>
      </c>
      <c r="L3" s="3472" t="s">
        <v>83</v>
      </c>
      <c r="M3" s="3470" t="s">
        <v>81</v>
      </c>
      <c r="IW3" s="3473">
        <v>0</v>
      </c>
    </row>
    <row customHeight="1" ht="14.699999999999998">
      <c r="IW4" s="3475">
        <v>14</v>
      </c>
    </row>
    <row customHeight="1" ht="27.299999999999997">
      <c r="E5" s="347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3476"/>
      <c r="G5" s="3476"/>
      <c r="H5" s="3476"/>
      <c r="I5" s="3476"/>
      <c r="J5" s="3476"/>
      <c r="K5" s="3476"/>
      <c r="IW5" s="3475">
        <v>26</v>
      </c>
    </row>
    <row customHeight="1" ht="14.699999999999998">
      <c r="IW6" s="3475">
        <v>14</v>
      </c>
    </row>
    <row customHeight="1" ht="14.699999999999998">
      <c r="E7" s="3437" t="s">
        <v>315</v>
      </c>
      <c r="F7" s="3477"/>
      <c r="G7" s="3477"/>
      <c r="H7" s="3477"/>
      <c r="I7" s="3477"/>
      <c r="J7" s="3477"/>
      <c r="K7" s="3477"/>
      <c r="L7" s="1129" t="s">
        <v>316</v>
      </c>
      <c r="IW7" s="3475">
        <v>14</v>
      </c>
    </row>
    <row customHeight="1" ht="67.2">
      <c r="E8" s="1240" t="s">
        <v>86</v>
      </c>
      <c r="F8" s="1240" t="s">
        <v>1902</v>
      </c>
      <c r="G8" s="147" t="s">
        <v>1903</v>
      </c>
      <c r="H8" s="1251"/>
      <c r="I8" s="1252"/>
      <c r="J8" s="1240" t="s">
        <v>1904</v>
      </c>
      <c r="K8" s="1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253"/>
      <c r="IW8" s="3475">
        <v>64</v>
      </c>
    </row>
    <row customHeight="1" ht="29.25">
      <c r="E9" s="1254"/>
      <c r="F9" s="1254"/>
      <c r="G9" s="1254" t="s">
        <v>1898</v>
      </c>
      <c r="H9" s="1254" t="s">
        <v>1899</v>
      </c>
      <c r="I9" s="1254" t="s">
        <v>1900</v>
      </c>
      <c r="J9" s="1254"/>
      <c r="K9" s="1254"/>
      <c r="L9" s="1241"/>
      <c r="IW9" s="3475">
        <v>28</v>
      </c>
    </row>
    <row customHeight="1" ht="1.05">
      <c r="B10" s="3449">
        <v>1</v>
      </c>
      <c r="D10" s="3482"/>
      <c r="E10" s="3484">
        <v>0</v>
      </c>
      <c r="F10" s="3623" t="str">
        <f>IF(ROIV_INFO_NAME="","",ROIV_INFO_NAME)</f>
        <v>ООО "ТеплоЭлектроГенерирующая Компания"</v>
      </c>
      <c r="G10" s="108" t="s">
        <v>22</v>
      </c>
      <c r="H10" s="1258"/>
      <c r="I10" s="1258"/>
      <c r="J10" s="1121"/>
      <c r="K10" s="1121"/>
      <c r="L10" s="40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4037">
        <f>MERGEVALUE(F10)</f>
      </c>
      <c r="P10" s="3479" t="str">
        <f t="array" ref="P10:P10">IF(ISERROR(MATCH(MID(Q10,1,250),MID(note_ter,1,250),0)),"n","y")</f>
        <v>n</v>
      </c>
      <c r="R10" s="347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64">
        <v>1</v>
      </c>
    </row>
    <row customHeight="1" ht="15.75">
      <c r="E11" s="165"/>
      <c r="F11" s="172" t="s">
        <v>1901</v>
      </c>
      <c r="G11" s="168"/>
      <c r="H11" s="168"/>
      <c r="I11" s="168"/>
      <c r="J11" s="168"/>
      <c r="K11" s="169"/>
      <c r="L11" s="4039"/>
      <c r="IW11" s="164">
        <v>15</v>
      </c>
    </row>
    <row customHeight="1" ht="22.049999999999997">
      <c r="E12" s="3485"/>
      <c r="F12" s="3485"/>
      <c r="G12" s="3485"/>
      <c r="H12" s="3485"/>
      <c r="I12" s="3485"/>
      <c r="J12" s="3485"/>
      <c r="K12" s="3485"/>
      <c r="L12" s="3485"/>
      <c r="IW12" s="3475">
        <v>21</v>
      </c>
    </row>
    <row customHeight="1" ht="14.699999999999998">
      <c r="IW13" s="3475">
        <v>14</v>
      </c>
    </row>
    <row customHeight="1" ht="1.05">
      <c r="IW14" s="3475">
        <v>1</v>
      </c>
    </row>
    <row customHeight="1" ht="22.5" hidden="1">
      <c r="A15" s="3432" t="s">
        <v>80</v>
      </c>
      <c r="B15" s="3449">
        <v>0</v>
      </c>
      <c r="C15" s="3432">
        <v>0</v>
      </c>
      <c r="D15" s="3487">
        <v>3</v>
      </c>
      <c r="E15" s="3432">
        <v>6</v>
      </c>
      <c r="F15" s="3432">
        <v>27</v>
      </c>
      <c r="G15" s="3432">
        <v>16</v>
      </c>
      <c r="H15" s="3432">
        <v>12</v>
      </c>
      <c r="I15" s="3432">
        <v>32</v>
      </c>
      <c r="J15" s="3432">
        <v>41</v>
      </c>
      <c r="K15" s="3432">
        <v>41</v>
      </c>
      <c r="L15" s="3432">
        <v>89</v>
      </c>
      <c r="M15" s="3479">
        <v>3</v>
      </c>
      <c r="N15" s="3479">
        <v>8</v>
      </c>
      <c r="O15" s="3479">
        <v>8</v>
      </c>
      <c r="P15" s="3479">
        <v>8</v>
      </c>
      <c r="Q15" s="3479">
        <v>25</v>
      </c>
      <c r="R15" s="3479">
        <v>14</v>
      </c>
      <c r="S15" s="3488">
        <v>8</v>
      </c>
      <c r="T15" s="3488">
        <v>8</v>
      </c>
      <c r="U15" s="3488">
        <v>8</v>
      </c>
      <c r="V15" s="3488">
        <v>8</v>
      </c>
      <c r="W15" s="3432">
        <v>8</v>
      </c>
      <c r="X15" s="3432">
        <v>8</v>
      </c>
      <c r="Y15" s="3432">
        <v>8</v>
      </c>
      <c r="Z15" s="3432">
        <v>8</v>
      </c>
      <c r="AA15" s="3432">
        <v>8</v>
      </c>
      <c r="AB15" s="3432">
        <v>8</v>
      </c>
      <c r="AC15" s="3432">
        <v>8</v>
      </c>
      <c r="AD15" s="3432">
        <v>8</v>
      </c>
      <c r="AE15" s="3432">
        <v>8</v>
      </c>
      <c r="AF15" s="3432">
        <v>8</v>
      </c>
      <c r="AG15" s="3432">
        <v>8</v>
      </c>
      <c r="AH15" s="3432">
        <v>8</v>
      </c>
      <c r="AI15" s="3432">
        <v>8</v>
      </c>
      <c r="AJ15" s="3432">
        <v>8</v>
      </c>
      <c r="AK15" s="3432">
        <v>8</v>
      </c>
      <c r="AL15" s="3432">
        <v>8</v>
      </c>
      <c r="AM15" s="3432">
        <v>8</v>
      </c>
      <c r="AN15" s="3432">
        <v>8</v>
      </c>
      <c r="AO15" s="3432">
        <v>8</v>
      </c>
      <c r="AP15" s="3432">
        <v>8</v>
      </c>
      <c r="AQ15" s="3432">
        <v>8</v>
      </c>
      <c r="AR15" s="3432">
        <v>8</v>
      </c>
      <c r="AS15" s="3432">
        <v>8</v>
      </c>
      <c r="AT15" s="3432">
        <v>8</v>
      </c>
      <c r="AU15" s="3432">
        <v>8</v>
      </c>
      <c r="AV15" s="3432">
        <v>8</v>
      </c>
      <c r="AW15" s="3432">
        <v>8</v>
      </c>
      <c r="AX15" s="3432">
        <v>8</v>
      </c>
      <c r="AY15" s="3432">
        <v>8</v>
      </c>
      <c r="AZ15" s="3432">
        <v>8</v>
      </c>
      <c r="BA15" s="3432">
        <v>8</v>
      </c>
      <c r="BB15" s="3432">
        <v>8</v>
      </c>
      <c r="BC15" s="3432">
        <v>8</v>
      </c>
      <c r="BD15" s="3432">
        <v>8</v>
      </c>
      <c r="BE15" s="3432">
        <v>8</v>
      </c>
      <c r="BF15" s="3432">
        <v>8</v>
      </c>
      <c r="BG15" s="3432">
        <v>8</v>
      </c>
      <c r="BH15" s="3432">
        <v>8</v>
      </c>
      <c r="BI15" s="3432">
        <v>8</v>
      </c>
      <c r="BJ15" s="3432">
        <v>8</v>
      </c>
      <c r="BK15" s="3432">
        <v>8</v>
      </c>
      <c r="BL15" s="3432">
        <v>8</v>
      </c>
      <c r="BM15" s="3432">
        <v>8</v>
      </c>
      <c r="BN15" s="3432">
        <v>8</v>
      </c>
      <c r="BO15" s="3432">
        <v>8</v>
      </c>
      <c r="BP15" s="3432">
        <v>8</v>
      </c>
      <c r="BQ15" s="3432">
        <v>8</v>
      </c>
      <c r="BR15" s="3432">
        <v>8</v>
      </c>
      <c r="BS15" s="3432">
        <v>8</v>
      </c>
      <c r="BT15" s="3432">
        <v>8</v>
      </c>
      <c r="BU15" s="3432">
        <v>8</v>
      </c>
      <c r="BV15" s="3432">
        <v>8</v>
      </c>
      <c r="BW15" s="3432">
        <v>8</v>
      </c>
      <c r="BX15" s="3432">
        <v>8</v>
      </c>
      <c r="BY15" s="3432">
        <v>8</v>
      </c>
      <c r="BZ15" s="3432">
        <v>8</v>
      </c>
      <c r="CA15" s="3432">
        <v>8</v>
      </c>
      <c r="CB15" s="3432">
        <v>8</v>
      </c>
      <c r="CC15" s="3432">
        <v>8</v>
      </c>
      <c r="CD15" s="3432">
        <v>8</v>
      </c>
      <c r="CE15" s="3432">
        <v>8</v>
      </c>
      <c r="CF15" s="3432">
        <v>8</v>
      </c>
      <c r="CG15" s="3432">
        <v>8</v>
      </c>
      <c r="CH15" s="3432">
        <v>8</v>
      </c>
      <c r="CI15" s="3432">
        <v>8</v>
      </c>
      <c r="CJ15" s="3432">
        <v>8</v>
      </c>
      <c r="CK15" s="3432">
        <v>8</v>
      </c>
      <c r="CL15" s="3432">
        <v>8</v>
      </c>
      <c r="CM15" s="3432">
        <v>8</v>
      </c>
      <c r="CN15" s="3432">
        <v>8</v>
      </c>
      <c r="CO15" s="3432">
        <v>8</v>
      </c>
      <c r="CP15" s="3432">
        <v>8</v>
      </c>
      <c r="CQ15" s="3432">
        <v>8</v>
      </c>
      <c r="CR15" s="3432">
        <v>8</v>
      </c>
      <c r="CS15" s="3432">
        <v>8</v>
      </c>
      <c r="CT15" s="3432">
        <v>8</v>
      </c>
      <c r="CU15" s="3432">
        <v>8</v>
      </c>
      <c r="CV15" s="3432">
        <v>8</v>
      </c>
      <c r="CW15" s="3432">
        <v>8</v>
      </c>
      <c r="CX15" s="3432">
        <v>8</v>
      </c>
      <c r="CY15" s="3432">
        <v>8</v>
      </c>
      <c r="CZ15" s="3432">
        <v>8</v>
      </c>
      <c r="DA15" s="3432">
        <v>8</v>
      </c>
      <c r="DB15" s="3432">
        <v>8</v>
      </c>
      <c r="DC15" s="3432">
        <v>8</v>
      </c>
      <c r="DD15" s="3432">
        <v>8</v>
      </c>
      <c r="DE15" s="3432">
        <v>8</v>
      </c>
      <c r="DF15" s="3432">
        <v>8</v>
      </c>
      <c r="DG15" s="3432">
        <v>8</v>
      </c>
      <c r="DH15" s="3432">
        <v>8</v>
      </c>
      <c r="DI15" s="3432">
        <v>8</v>
      </c>
      <c r="DJ15" s="3432">
        <v>8</v>
      </c>
      <c r="DK15" s="3432">
        <v>8</v>
      </c>
      <c r="DL15" s="3432">
        <v>8</v>
      </c>
      <c r="DM15" s="3432">
        <v>8</v>
      </c>
      <c r="DN15" s="3432">
        <v>8</v>
      </c>
      <c r="DO15" s="3432">
        <v>8</v>
      </c>
      <c r="DP15" s="3432">
        <v>8</v>
      </c>
      <c r="DQ15" s="3432">
        <v>8</v>
      </c>
      <c r="DR15" s="3432">
        <v>8</v>
      </c>
      <c r="DS15" s="3432">
        <v>8</v>
      </c>
      <c r="DT15" s="3432">
        <v>8</v>
      </c>
      <c r="DU15" s="3432">
        <v>8</v>
      </c>
      <c r="DV15" s="3432">
        <v>8</v>
      </c>
      <c r="DW15" s="3432">
        <v>8</v>
      </c>
      <c r="DX15" s="3432">
        <v>8</v>
      </c>
      <c r="DY15" s="3432">
        <v>8</v>
      </c>
      <c r="DZ15" s="3432">
        <v>8</v>
      </c>
      <c r="EA15" s="3432">
        <v>8</v>
      </c>
      <c r="EB15" s="3432">
        <v>8</v>
      </c>
      <c r="EC15" s="3432">
        <v>8</v>
      </c>
      <c r="ED15" s="3432">
        <v>8</v>
      </c>
      <c r="EE15" s="3432">
        <v>8</v>
      </c>
      <c r="EF15" s="3432">
        <v>8</v>
      </c>
      <c r="EG15" s="3432">
        <v>8</v>
      </c>
      <c r="EH15" s="3432">
        <v>8</v>
      </c>
      <c r="EI15" s="3432">
        <v>8</v>
      </c>
      <c r="EJ15" s="3432">
        <v>8</v>
      </c>
      <c r="EK15" s="3432">
        <v>8</v>
      </c>
      <c r="EL15" s="3432">
        <v>8</v>
      </c>
      <c r="EM15" s="3432">
        <v>8</v>
      </c>
      <c r="EN15" s="3432">
        <v>8</v>
      </c>
      <c r="EO15" s="3432">
        <v>8</v>
      </c>
      <c r="EP15" s="3432">
        <v>8</v>
      </c>
      <c r="EQ15" s="3432">
        <v>8</v>
      </c>
      <c r="ER15" s="3432">
        <v>8</v>
      </c>
      <c r="ES15" s="3432">
        <v>8</v>
      </c>
      <c r="ET15" s="3432">
        <v>8</v>
      </c>
      <c r="EU15" s="3432">
        <v>8</v>
      </c>
      <c r="EV15" s="3432">
        <v>8</v>
      </c>
      <c r="EW15" s="3432">
        <v>8</v>
      </c>
      <c r="EX15" s="3432">
        <v>8</v>
      </c>
      <c r="EY15" s="3432">
        <v>8</v>
      </c>
      <c r="EZ15" s="3432">
        <v>8</v>
      </c>
      <c r="FA15" s="3432">
        <v>8</v>
      </c>
      <c r="FB15" s="3432">
        <v>8</v>
      </c>
      <c r="FC15" s="3432">
        <v>8</v>
      </c>
      <c r="FD15" s="3432">
        <v>8</v>
      </c>
      <c r="FE15" s="3432">
        <v>8</v>
      </c>
      <c r="FF15" s="3432">
        <v>8</v>
      </c>
      <c r="FG15" s="3432">
        <v>8</v>
      </c>
      <c r="FH15" s="3432">
        <v>8</v>
      </c>
      <c r="FI15" s="3432">
        <v>8</v>
      </c>
      <c r="FJ15" s="3432">
        <v>8</v>
      </c>
      <c r="FK15" s="3432">
        <v>8</v>
      </c>
      <c r="FL15" s="3432">
        <v>8</v>
      </c>
      <c r="FM15" s="3432">
        <v>8</v>
      </c>
      <c r="FN15" s="3432">
        <v>8</v>
      </c>
      <c r="FO15" s="3432">
        <v>8</v>
      </c>
      <c r="FP15" s="3432">
        <v>8</v>
      </c>
      <c r="FQ15" s="3432">
        <v>8</v>
      </c>
      <c r="FR15" s="3432">
        <v>8</v>
      </c>
      <c r="FS15" s="3432">
        <v>8</v>
      </c>
      <c r="FT15" s="3432">
        <v>8</v>
      </c>
      <c r="FU15" s="3432">
        <v>8</v>
      </c>
      <c r="FV15" s="3432">
        <v>8</v>
      </c>
      <c r="FW15" s="3432">
        <v>8</v>
      </c>
      <c r="FX15" s="3432">
        <v>8</v>
      </c>
      <c r="FY15" s="3432">
        <v>8</v>
      </c>
      <c r="FZ15" s="3432">
        <v>8</v>
      </c>
      <c r="GA15" s="3432">
        <v>8</v>
      </c>
      <c r="GB15" s="3432">
        <v>8</v>
      </c>
      <c r="GC15" s="3432">
        <v>8</v>
      </c>
      <c r="GD15" s="3432">
        <v>8</v>
      </c>
      <c r="GE15" s="3432">
        <v>8</v>
      </c>
      <c r="GF15" s="3432">
        <v>8</v>
      </c>
      <c r="GG15" s="3432">
        <v>8</v>
      </c>
      <c r="GH15" s="3432">
        <v>8</v>
      </c>
      <c r="GI15" s="3432">
        <v>8</v>
      </c>
      <c r="GJ15" s="3432">
        <v>8</v>
      </c>
      <c r="GK15" s="3432">
        <v>8</v>
      </c>
      <c r="GL15" s="3432">
        <v>8</v>
      </c>
      <c r="GM15" s="3432">
        <v>8</v>
      </c>
      <c r="GN15" s="3432">
        <v>8</v>
      </c>
      <c r="GO15" s="3432">
        <v>8</v>
      </c>
      <c r="GP15" s="3432">
        <v>8</v>
      </c>
      <c r="GQ15" s="3432">
        <v>8</v>
      </c>
      <c r="GR15" s="3432">
        <v>8</v>
      </c>
      <c r="GS15" s="3432">
        <v>8</v>
      </c>
      <c r="GT15" s="3432">
        <v>8</v>
      </c>
      <c r="GU15" s="3432">
        <v>8</v>
      </c>
      <c r="GV15" s="3432">
        <v>8</v>
      </c>
      <c r="GW15" s="3432">
        <v>8</v>
      </c>
      <c r="GX15" s="3432">
        <v>8</v>
      </c>
      <c r="GY15" s="3432">
        <v>8</v>
      </c>
      <c r="GZ15" s="3432">
        <v>8</v>
      </c>
      <c r="HA15" s="3432">
        <v>8</v>
      </c>
      <c r="HB15" s="3432">
        <v>8</v>
      </c>
      <c r="HC15" s="3432">
        <v>8</v>
      </c>
      <c r="HD15" s="3432">
        <v>8</v>
      </c>
      <c r="HE15" s="3432">
        <v>8</v>
      </c>
      <c r="HF15" s="3432">
        <v>8</v>
      </c>
      <c r="HG15" s="3432">
        <v>8</v>
      </c>
      <c r="HH15" s="3432">
        <v>8</v>
      </c>
      <c r="HI15" s="3432">
        <v>8</v>
      </c>
      <c r="HJ15" s="3432">
        <v>8</v>
      </c>
      <c r="HK15" s="3432">
        <v>8</v>
      </c>
      <c r="HL15" s="3432">
        <v>8</v>
      </c>
      <c r="HM15" s="3432">
        <v>8</v>
      </c>
      <c r="HN15" s="3432">
        <v>8</v>
      </c>
      <c r="HO15" s="3432">
        <v>8</v>
      </c>
      <c r="HP15" s="3432">
        <v>8</v>
      </c>
      <c r="HQ15" s="3432">
        <v>8</v>
      </c>
      <c r="HR15" s="3432">
        <v>8</v>
      </c>
      <c r="HS15" s="3432">
        <v>8</v>
      </c>
      <c r="HT15" s="3432">
        <v>8</v>
      </c>
      <c r="HU15" s="3432">
        <v>8</v>
      </c>
      <c r="HV15" s="3432">
        <v>8</v>
      </c>
      <c r="HW15" s="3432">
        <v>8</v>
      </c>
      <c r="HX15" s="3432">
        <v>8</v>
      </c>
      <c r="HY15" s="3432">
        <v>8</v>
      </c>
      <c r="HZ15" s="3432">
        <v>8</v>
      </c>
      <c r="IA15" s="3432">
        <v>8</v>
      </c>
      <c r="IB15" s="3432">
        <v>8</v>
      </c>
      <c r="IC15" s="3432">
        <v>8</v>
      </c>
      <c r="ID15" s="3432">
        <v>8</v>
      </c>
      <c r="IE15" s="3432">
        <v>8</v>
      </c>
      <c r="IF15" s="3432">
        <v>8</v>
      </c>
      <c r="IG15" s="3432">
        <v>8</v>
      </c>
      <c r="IH15" s="3432">
        <v>8</v>
      </c>
      <c r="II15" s="3432">
        <v>8</v>
      </c>
      <c r="IJ15" s="3432">
        <v>8</v>
      </c>
      <c r="IK15" s="3432">
        <v>8</v>
      </c>
      <c r="IL15" s="3432">
        <v>8</v>
      </c>
      <c r="IM15" s="3432">
        <v>8</v>
      </c>
      <c r="IN15" s="3432">
        <v>8</v>
      </c>
      <c r="IO15" s="3432">
        <v>8</v>
      </c>
      <c r="IP15" s="3432">
        <v>8</v>
      </c>
      <c r="IQ15" s="3432">
        <v>8</v>
      </c>
      <c r="IR15" s="3432">
        <v>8</v>
      </c>
      <c r="IS15" s="3432">
        <v>8</v>
      </c>
      <c r="IT15" s="3432">
        <v>8</v>
      </c>
      <c r="IU15" s="3432">
        <v>8</v>
      </c>
      <c r="IV15" s="3432">
        <v>8</v>
      </c>
      <c r="IW15" s="34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B1993-DD8F-905D-FAAF-F8EF148BCD59}" mc:Ignorable="x14ac xr xr2 xr3">
  <dimension ref="A1:Q19"/>
  <sheetViews>
    <sheetView topLeftCell="A1" showGridLines="0" zoomScale="90" workbookViewId="0">
      <selection activeCell="A1" sqref="A1"/>
    </sheetView>
  </sheetViews>
  <sheetFormatPr defaultColWidth="9.140625" customHeight="1" defaultRowHeight="14.25"/>
  <cols>
    <col min="1" max="2" style="7348" width="9.140625" hidden="1"/>
    <col min="3" max="3" style="7348" width="3.7109375" hidden="1" customWidth="1"/>
    <col min="4" max="4" style="7348" width="3.00390625" customWidth="1"/>
    <col min="5" max="5" style="7348" width="6.00390625" customWidth="1"/>
    <col min="6" max="6" style="7348" width="27.00390625" customWidth="1"/>
    <col min="7" max="7" style="7348" width="29.00390625" customWidth="1"/>
    <col min="8" max="8" style="7348" width="25.00390625" customWidth="1"/>
    <col min="9" max="9" style="7348" width="5.00390625" customWidth="1"/>
    <col min="10" max="10" style="7348" width="6.00390625" customWidth="1"/>
    <col min="11" max="11" style="7348" width="41.00390625" customWidth="1"/>
    <col min="12" max="12" style="7348" width="42.00390625" customWidth="1"/>
    <col min="13" max="13" style="7348" width="41.00390625" customWidth="1"/>
    <col min="14" max="14" style="7348" width="89.00390625" customWidth="1"/>
    <col min="15" max="15" style="7348" width="3.00390625" customWidth="1"/>
    <col min="16" max="16" style="7348" width="8.00390625" customWidth="1"/>
    <col min="17" max="17" style="7348" width="9.140625" hidden="1"/>
  </cols>
  <sheetData>
    <row customHeight="1" ht="22.5" hidden="1">
      <c r="Q1" s="3432" t="s">
        <v>14</v>
      </c>
    </row>
    <row customHeight="1" ht="22.5" hidden="1">
      <c r="B2" s="3449">
        <v>1</v>
      </c>
      <c r="D2" s="3693" t="s">
        <v>119</v>
      </c>
      <c r="E2" s="3480">
        <v>1</v>
      </c>
      <c r="F2" s="3873" t="str">
        <f>IF(region_name="","",region_name)</f>
        <v>Саратовская область</v>
      </c>
      <c r="G2" s="1242"/>
      <c r="H2" s="358"/>
      <c r="I2" s="3585"/>
      <c r="J2" s="3437">
        <v>1</v>
      </c>
      <c r="K2" s="413"/>
      <c r="L2" s="413"/>
      <c r="M2" s="413"/>
      <c r="N2" s="3591"/>
      <c r="Q2" s="164">
        <v>0</v>
      </c>
    </row>
    <row customHeight="1" ht="22.5" hidden="1">
      <c r="E3" s="3480"/>
      <c r="F3" s="3873"/>
      <c r="G3" s="1242"/>
      <c r="H3" s="356"/>
      <c r="I3" s="165"/>
      <c r="J3" s="791"/>
      <c r="K3" s="791" t="s">
        <v>1905</v>
      </c>
      <c r="L3" s="1259"/>
      <c r="M3" s="1260"/>
      <c r="N3" s="4040"/>
      <c r="Q3" s="164">
        <v>0</v>
      </c>
    </row>
    <row customHeight="1" ht="5.25" hidden="1">
      <c r="F4" s="3470" t="s">
        <v>81</v>
      </c>
      <c r="G4" s="3471" t="s">
        <v>82</v>
      </c>
      <c r="J4" s="4041"/>
      <c r="O4" s="3470" t="s">
        <v>81</v>
      </c>
      <c r="Q4" s="3473">
        <v>0</v>
      </c>
    </row>
    <row customHeight="1" ht="22.5" hidden="1">
      <c r="B5" s="3449">
        <v>1</v>
      </c>
      <c r="E5" s="4040"/>
      <c r="F5" s="4040"/>
      <c r="G5" s="4040"/>
      <c r="H5" s="4042"/>
      <c r="I5" s="3512" t="s">
        <v>119</v>
      </c>
      <c r="J5" s="3477">
        <v>1</v>
      </c>
      <c r="K5" s="413"/>
      <c r="L5" s="413"/>
      <c r="M5" s="413"/>
      <c r="N5" s="3591"/>
      <c r="Q5" s="164">
        <v>0</v>
      </c>
    </row>
    <row customHeight="1" ht="14.699999999999998">
      <c r="Q6" s="3475">
        <v>14</v>
      </c>
    </row>
    <row customHeight="1" ht="27.299999999999997">
      <c r="E7" s="40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4043"/>
      <c r="G7" s="4043"/>
      <c r="H7" s="4043"/>
      <c r="I7" s="4043"/>
      <c r="J7" s="4043"/>
      <c r="K7" s="4043"/>
      <c r="L7" s="4043"/>
      <c r="M7" s="4043"/>
      <c r="Q7" s="3475">
        <v>26</v>
      </c>
    </row>
    <row customHeight="1" ht="14.699999999999998">
      <c r="Q8" s="3475">
        <v>14</v>
      </c>
    </row>
    <row customHeight="1" ht="14.25" hidden="1">
      <c r="E9" s="1265"/>
      <c r="F9" s="1265"/>
      <c r="G9" s="1265"/>
      <c r="H9" s="1265"/>
      <c r="I9" s="1265"/>
      <c r="J9" s="1265"/>
      <c r="K9" s="1265"/>
      <c r="L9" s="1265"/>
      <c r="M9" s="1266"/>
      <c r="Q9" s="4044">
        <v>0</v>
      </c>
    </row>
    <row customHeight="1" ht="14.699999999999998">
      <c r="E10" s="3480" t="s">
        <v>315</v>
      </c>
      <c r="F10" s="3480"/>
      <c r="G10" s="3480"/>
      <c r="H10" s="3480"/>
      <c r="I10" s="3480"/>
      <c r="J10" s="3480"/>
      <c r="K10" s="3480"/>
      <c r="L10" s="3480"/>
      <c r="M10" s="3437"/>
      <c r="N10" s="1240" t="s">
        <v>316</v>
      </c>
      <c r="Q10" s="3475">
        <v>14</v>
      </c>
    </row>
    <row customHeight="1" ht="44.25">
      <c r="E11" s="148" t="s">
        <v>86</v>
      </c>
      <c r="F11" s="148" t="s">
        <v>319</v>
      </c>
      <c r="G11" s="148" t="s">
        <v>1906</v>
      </c>
      <c r="H11" s="148"/>
      <c r="I11" s="148" t="s">
        <v>1907</v>
      </c>
      <c r="J11" s="148"/>
      <c r="K11" s="148"/>
      <c r="L11" s="148" t="s">
        <v>1908</v>
      </c>
      <c r="M11" s="147" t="s">
        <v>1909</v>
      </c>
      <c r="N11" s="1268"/>
      <c r="Q11" s="3475">
        <v>42</v>
      </c>
    </row>
    <row customHeight="1" ht="29.25">
      <c r="E12" s="1240"/>
      <c r="F12" s="148"/>
      <c r="G12" s="148" t="s">
        <v>1910</v>
      </c>
      <c r="H12" s="148" t="s">
        <v>323</v>
      </c>
      <c r="I12" s="148"/>
      <c r="J12" s="148"/>
      <c r="K12" s="148"/>
      <c r="L12" s="148"/>
      <c r="M12" s="147"/>
      <c r="N12" s="1254"/>
      <c r="Q12" s="3475">
        <v>28</v>
      </c>
    </row>
    <row customHeight="1" ht="23.25">
      <c r="A13" s="3455">
        <v>26379339</v>
      </c>
      <c r="B13" s="3449">
        <v>1</v>
      </c>
      <c r="E13" s="3480">
        <v>1</v>
      </c>
      <c r="F13" s="4045" t="str">
        <f>IF(region_name="","",region_name)</f>
        <v>Саратовская область</v>
      </c>
      <c r="G13" s="429"/>
      <c r="H13" s="1270"/>
      <c r="I13" s="3585"/>
      <c r="J13" s="3483">
        <v>1</v>
      </c>
      <c r="K13" s="1271"/>
      <c r="L13" s="1272"/>
      <c r="M13" s="1272"/>
      <c r="N13" s="1273" t="s">
        <v>1911</v>
      </c>
      <c r="Q13" s="164">
        <v>22</v>
      </c>
    </row>
    <row customHeight="1" ht="23.25">
      <c r="E14" s="3480"/>
      <c r="F14" s="4045"/>
      <c r="G14" s="429"/>
      <c r="H14" s="758"/>
      <c r="I14" s="165"/>
      <c r="J14" s="791"/>
      <c r="K14" s="791" t="s">
        <v>1905</v>
      </c>
      <c r="L14" s="1259"/>
      <c r="M14" s="1259"/>
      <c r="N14" s="1274"/>
      <c r="Q14" s="164">
        <v>22</v>
      </c>
    </row>
    <row customHeight="1" ht="23.25">
      <c r="E15" s="165"/>
      <c r="F15" s="791" t="s">
        <v>1897</v>
      </c>
      <c r="G15" s="1245"/>
      <c r="H15" s="1245"/>
      <c r="I15" s="168"/>
      <c r="J15" s="168"/>
      <c r="K15" s="168"/>
      <c r="L15" s="168"/>
      <c r="M15" s="168"/>
      <c r="N15" s="1274"/>
      <c r="Q15" s="164">
        <v>22</v>
      </c>
    </row>
    <row customHeight="1" ht="22.049999999999997">
      <c r="E16" s="3485"/>
      <c r="F16" s="3485"/>
      <c r="G16" s="3485"/>
      <c r="H16" s="3485"/>
      <c r="I16" s="3485"/>
      <c r="J16" s="3485"/>
      <c r="K16" s="3485"/>
      <c r="L16" s="3485"/>
      <c r="Q16" s="3475">
        <v>21</v>
      </c>
    </row>
    <row customHeight="1" ht="14.699999999999998">
      <c r="Q17" s="3475">
        <v>14</v>
      </c>
    </row>
    <row customHeight="1" ht="1.05">
      <c r="Q18" s="3475">
        <v>1</v>
      </c>
    </row>
    <row customHeight="1" ht="22.5" hidden="1">
      <c r="A19" s="3432" t="s">
        <v>80</v>
      </c>
      <c r="B19" s="3449">
        <v>0</v>
      </c>
      <c r="C19" s="3432">
        <v>0</v>
      </c>
      <c r="D19" s="3487">
        <v>3</v>
      </c>
      <c r="E19" s="3432">
        <v>6</v>
      </c>
      <c r="F19" s="3432">
        <v>27</v>
      </c>
      <c r="G19" s="3432">
        <v>29</v>
      </c>
      <c r="H19" s="3432">
        <v>25</v>
      </c>
      <c r="I19" s="3432">
        <v>5</v>
      </c>
      <c r="J19" s="3432">
        <v>6</v>
      </c>
      <c r="K19" s="3432">
        <v>41</v>
      </c>
      <c r="L19" s="3432">
        <v>42</v>
      </c>
      <c r="M19" s="3432">
        <v>41</v>
      </c>
      <c r="N19" s="3432">
        <v>89</v>
      </c>
      <c r="O19" s="3479">
        <v>3</v>
      </c>
      <c r="P19" s="3479">
        <v>8</v>
      </c>
      <c r="Q19" s="343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95E7C-AB26-324B-30BD-4539746CEB8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2" style="7348" width="9.140625" hidden="1"/>
    <col min="3" max="3" style="7348" width="3.00390625" customWidth="1"/>
    <col min="4" max="4" style="7348" width="6.00390625" customWidth="1"/>
    <col min="5" max="5" style="7348" width="22.00390625" customWidth="1"/>
    <col min="6" max="6" style="7348" width="15.00390625" customWidth="1"/>
    <col min="7" max="7" style="7348" width="14.00390625" customWidth="1"/>
    <col min="8" max="8" style="7348" width="47.00390625" customWidth="1"/>
    <col min="9" max="9" style="7348" width="115.00390625" customWidth="1"/>
    <col min="10" max="10" style="7348" width="3.00390625" customWidth="1"/>
    <col min="11" max="12" style="7348" width="8.00390625" customWidth="1"/>
    <col min="13" max="13" style="7348" width="9.140625" hidden="1"/>
  </cols>
  <sheetData>
    <row customHeight="1" ht="14.25" hidden="1">
      <c r="M1" s="286" t="s">
        <v>14</v>
      </c>
    </row>
    <row customHeight="1" ht="14.25" hidden="1">
      <c r="M2" s="286">
        <v>0</v>
      </c>
    </row>
    <row customHeight="1" ht="14.25" hidden="1">
      <c r="M3" s="286">
        <v>0</v>
      </c>
    </row>
    <row customHeight="1" ht="3">
      <c r="M4" s="286">
        <v>3</v>
      </c>
    </row>
    <row customHeight="1" ht="31.5">
      <c r="C5" s="3602"/>
      <c r="D5" s="3476" t="s">
        <v>1912</v>
      </c>
      <c r="E5" s="3476"/>
      <c r="F5" s="3476"/>
      <c r="G5" s="3476"/>
      <c r="H5" s="3476"/>
      <c r="M5" s="3432">
        <v>30</v>
      </c>
    </row>
    <row customHeight="1" ht="3" hidden="1">
      <c r="D6" s="3570"/>
      <c r="E6" s="3570"/>
      <c r="F6" s="3570"/>
      <c r="G6" s="3570"/>
      <c r="H6" s="3570"/>
      <c r="I6" s="3570"/>
      <c r="M6" s="286">
        <v>0</v>
      </c>
    </row>
    <row customHeight="1" ht="14.699999999999998">
      <c r="D7" s="4018"/>
      <c r="E7" s="4018"/>
      <c r="F7" s="4018"/>
      <c r="G7" s="4018"/>
      <c r="H7" s="3575"/>
      <c r="I7" s="4018"/>
      <c r="J7" s="4019"/>
      <c r="M7" s="303">
        <v>14</v>
      </c>
    </row>
    <row customHeight="1" ht="14.699999999999998">
      <c r="D8" s="3579" t="s">
        <v>315</v>
      </c>
      <c r="E8" s="3579"/>
      <c r="F8" s="3579"/>
      <c r="G8" s="3579"/>
      <c r="H8" s="3579"/>
      <c r="I8" s="3579" t="s">
        <v>316</v>
      </c>
      <c r="M8" s="286">
        <v>14</v>
      </c>
    </row>
    <row customHeight="1" ht="29.25">
      <c r="D9" s="3579" t="s">
        <v>86</v>
      </c>
      <c r="E9" s="3579" t="s">
        <v>1913</v>
      </c>
      <c r="F9" s="3579"/>
      <c r="G9" s="3579"/>
      <c r="H9" s="3579"/>
      <c r="I9" s="3579"/>
      <c r="M9" s="286">
        <v>28</v>
      </c>
    </row>
    <row customHeight="1" ht="24">
      <c r="D10" s="3579"/>
      <c r="E10" s="3579" t="s">
        <v>1914</v>
      </c>
      <c r="F10" s="3579" t="s">
        <v>1915</v>
      </c>
      <c r="G10" s="3579" t="s">
        <v>1916</v>
      </c>
      <c r="H10" s="3579" t="s">
        <v>405</v>
      </c>
      <c r="I10" s="3579"/>
      <c r="M10" s="286">
        <v>23</v>
      </c>
    </row>
    <row customHeight="1" ht="12" hidden="1">
      <c r="D11" s="389" t="s">
        <v>107</v>
      </c>
      <c r="E11" s="389" t="s">
        <v>89</v>
      </c>
      <c r="F11" s="389" t="s">
        <v>109</v>
      </c>
      <c r="G11" s="389" t="s">
        <v>90</v>
      </c>
      <c r="H11" s="389" t="s">
        <v>91</v>
      </c>
      <c r="I11" s="389" t="s">
        <v>110</v>
      </c>
      <c r="M11" s="286">
        <v>0</v>
      </c>
    </row>
    <row customHeight="1" ht="26.25">
      <c r="A12" s="571" t="s">
        <v>88</v>
      </c>
      <c r="B12" s="3399" t="s">
        <v>22</v>
      </c>
      <c r="D12" s="204" t="s">
        <v>107</v>
      </c>
      <c r="E12" s="413"/>
      <c r="F12" s="413"/>
      <c r="G12" s="572" t="s">
        <v>22</v>
      </c>
      <c r="H12" s="431"/>
      <c r="I12" s="3546" t="s">
        <v>1917</v>
      </c>
      <c r="M12" s="286">
        <v>25</v>
      </c>
    </row>
    <row customHeight="1" ht="15.75">
      <c r="D13" s="3726"/>
      <c r="E13" s="172" t="s">
        <v>483</v>
      </c>
      <c r="F13" s="776"/>
      <c r="G13" s="776"/>
      <c r="H13" s="773"/>
      <c r="I13" s="3550"/>
      <c r="M13" s="286">
        <v>15</v>
      </c>
    </row>
    <row customHeight="1" ht="3">
      <c r="M14" s="286">
        <v>3</v>
      </c>
    </row>
    <row customHeight="1" ht="29.25">
      <c r="E15" s="1216" t="s">
        <v>1918</v>
      </c>
      <c r="M15" s="286">
        <v>28</v>
      </c>
    </row>
    <row customHeight="1" ht="14.25" hidden="1">
      <c r="A16" s="303" t="s">
        <v>80</v>
      </c>
      <c r="B16" s="286">
        <v>0</v>
      </c>
      <c r="C16" s="1217">
        <v>3</v>
      </c>
      <c r="D16" s="286">
        <v>6</v>
      </c>
      <c r="E16" s="286">
        <v>22</v>
      </c>
      <c r="F16" s="286">
        <v>15</v>
      </c>
      <c r="G16" s="286">
        <v>14</v>
      </c>
      <c r="H16" s="286">
        <v>47</v>
      </c>
      <c r="I16" s="286">
        <v>115</v>
      </c>
      <c r="J16" s="286">
        <v>3</v>
      </c>
      <c r="K16" s="286">
        <v>8</v>
      </c>
      <c r="L16" s="286">
        <v>8</v>
      </c>
      <c r="M16" s="2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2A926-A935-786A-4BEA-B0DB274F2C6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348" width="9.140625" hidden="1"/>
    <col min="3" max="3" style="7348" width="3.00390625" customWidth="1"/>
    <col min="4" max="4" style="7348" width="6.00390625" customWidth="1"/>
    <col min="5" max="5" style="7348" width="94.00390625" customWidth="1"/>
    <col min="6" max="9" style="7348" width="8.00390625" customWidth="1"/>
    <col min="10" max="10" style="7348" width="9.140625" hidden="1"/>
  </cols>
  <sheetData>
    <row customHeight="1" ht="14.25" hidden="1">
      <c r="J1" s="4020" t="s">
        <v>14</v>
      </c>
    </row>
    <row customHeight="1" ht="14.25" hidden="1">
      <c r="J2" s="4020">
        <v>0</v>
      </c>
    </row>
    <row customHeight="1" ht="14.25" hidden="1">
      <c r="J3" s="4020">
        <v>0</v>
      </c>
    </row>
    <row customHeight="1" ht="14.25" hidden="1">
      <c r="J4" s="4020">
        <v>0</v>
      </c>
    </row>
    <row customHeight="1" ht="14.25" hidden="1">
      <c r="J5" s="4020">
        <v>0</v>
      </c>
    </row>
    <row customHeight="1" ht="3">
      <c r="C6" s="4021"/>
      <c r="D6" s="3570"/>
      <c r="E6" s="3570"/>
      <c r="J6" s="4020">
        <v>3</v>
      </c>
    </row>
    <row customHeight="1" ht="23.25">
      <c r="C7" s="4021"/>
      <c r="D7" s="3756" t="s">
        <v>1919</v>
      </c>
      <c r="E7" s="3966"/>
      <c r="J7" s="4020">
        <v>22</v>
      </c>
    </row>
    <row customHeight="1" ht="3">
      <c r="C8" s="4021"/>
      <c r="D8" s="3570"/>
      <c r="E8" s="3570"/>
      <c r="J8" s="4020">
        <v>3</v>
      </c>
    </row>
    <row customHeight="1" ht="16.8">
      <c r="C9" s="4021"/>
      <c r="D9" s="3579" t="s">
        <v>86</v>
      </c>
      <c r="E9" s="3480" t="s">
        <v>1920</v>
      </c>
      <c r="J9" s="4020">
        <v>16</v>
      </c>
    </row>
    <row customHeight="1" ht="1.05">
      <c r="C10" s="4021"/>
      <c r="D10" s="389"/>
      <c r="E10" s="389"/>
      <c r="J10" s="4020">
        <v>1</v>
      </c>
    </row>
    <row customHeight="1" ht="11.25" hidden="1">
      <c r="C11" s="4021"/>
      <c r="D11" s="4022">
        <v>0</v>
      </c>
      <c r="E11" s="751"/>
      <c r="J11" s="4020">
        <v>0</v>
      </c>
    </row>
    <row customHeight="1" ht="15.75">
      <c r="C12" s="3602"/>
      <c r="D12" s="3707">
        <v>1</v>
      </c>
      <c r="E12" s="413"/>
      <c r="J12" s="4020">
        <v>15</v>
      </c>
    </row>
    <row customHeight="1" ht="12.75">
      <c r="C13" s="4021"/>
      <c r="D13" s="404"/>
      <c r="E13" s="1221" t="s">
        <v>1921</v>
      </c>
      <c r="J13" s="4020">
        <v>12</v>
      </c>
    </row>
    <row customHeight="1" ht="3">
      <c r="J14" s="4020">
        <v>3</v>
      </c>
    </row>
    <row customHeight="1" ht="23.25">
      <c r="D15" s="1216" t="s">
        <v>1922</v>
      </c>
      <c r="J15" s="4020">
        <v>22</v>
      </c>
    </row>
    <row customHeight="1" ht="14.25" hidden="1">
      <c r="A16" s="4020" t="s">
        <v>80</v>
      </c>
      <c r="B16" s="4020">
        <v>0</v>
      </c>
      <c r="C16" s="4023">
        <v>3</v>
      </c>
      <c r="D16" s="4020">
        <v>6</v>
      </c>
      <c r="E16" s="4020">
        <v>94</v>
      </c>
      <c r="F16" s="4020">
        <v>8</v>
      </c>
      <c r="G16" s="4020">
        <v>8</v>
      </c>
      <c r="H16" s="4020">
        <v>8</v>
      </c>
      <c r="I16" s="4020">
        <v>8</v>
      </c>
      <c r="J16" s="402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ACAE9-D30B-F543-5462-AC3B5A31006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348" width="9.140625" hidden="1"/>
    <col min="3" max="3" style="7348" width="3.00390625" customWidth="1"/>
    <col min="4" max="4" style="7348" width="6.00390625" customWidth="1"/>
    <col min="5" max="5" style="7348" width="94.00390625" customWidth="1"/>
    <col min="6" max="12" style="7348" width="8.00390625" customWidth="1"/>
    <col min="13" max="13" style="7348" width="9.140625" hidden="1"/>
  </cols>
  <sheetData>
    <row customHeight="1" ht="14.25" hidden="1">
      <c r="M1" s="4020" t="s">
        <v>14</v>
      </c>
    </row>
    <row customHeight="1" ht="14.25" hidden="1">
      <c r="M2" s="4020">
        <v>0</v>
      </c>
    </row>
    <row customHeight="1" ht="14.25" hidden="1">
      <c r="M3" s="4020">
        <v>0</v>
      </c>
    </row>
    <row customHeight="1" ht="14.25" hidden="1">
      <c r="M4" s="4020">
        <v>0</v>
      </c>
    </row>
    <row customHeight="1" ht="14.25" hidden="1">
      <c r="M5" s="4020">
        <v>0</v>
      </c>
    </row>
    <row customHeight="1" ht="3">
      <c r="C6" s="4021"/>
      <c r="D6" s="3570"/>
      <c r="E6" s="3570"/>
      <c r="M6" s="4020">
        <v>3</v>
      </c>
    </row>
    <row customHeight="1" ht="23.25">
      <c r="C7" s="4021"/>
      <c r="D7" s="3476" t="s">
        <v>1923</v>
      </c>
      <c r="E7" s="3476"/>
      <c r="M7" s="4020">
        <v>22</v>
      </c>
    </row>
    <row customHeight="1" ht="3">
      <c r="C8" s="4021"/>
      <c r="D8" s="3570"/>
      <c r="E8" s="3570"/>
      <c r="M8" s="4020">
        <v>3</v>
      </c>
    </row>
    <row customHeight="1" ht="16.8">
      <c r="C9" s="4021"/>
      <c r="D9" s="3579" t="s">
        <v>86</v>
      </c>
      <c r="E9" s="3525" t="s">
        <v>302</v>
      </c>
      <c r="M9" s="4020">
        <v>16</v>
      </c>
    </row>
    <row customHeight="1" ht="12.75">
      <c r="C10" s="4021"/>
      <c r="D10" s="389" t="s">
        <v>107</v>
      </c>
      <c r="E10" s="389" t="s">
        <v>108</v>
      </c>
      <c r="M10" s="4020">
        <v>12</v>
      </c>
    </row>
    <row customHeight="1" ht="15" hidden="1">
      <c r="C11" s="4021"/>
      <c r="D11" s="3707">
        <v>0</v>
      </c>
      <c r="E11" s="421"/>
      <c r="M11" s="4020">
        <v>0</v>
      </c>
    </row>
    <row customHeight="1" ht="14.699999999999998">
      <c r="C12" s="4021"/>
      <c r="D12" s="3726"/>
      <c r="E12" s="1221" t="s">
        <v>1921</v>
      </c>
      <c r="M12" s="4020">
        <v>14</v>
      </c>
    </row>
    <row customHeight="1" ht="14.25" hidden="1">
      <c r="A13" s="4020" t="s">
        <v>80</v>
      </c>
      <c r="B13" s="4020">
        <v>0</v>
      </c>
      <c r="C13" s="4023">
        <v>3</v>
      </c>
      <c r="D13" s="4020">
        <v>6</v>
      </c>
      <c r="E13" s="4020">
        <v>94</v>
      </c>
      <c r="F13" s="4020">
        <v>8</v>
      </c>
      <c r="G13" s="4020">
        <v>8</v>
      </c>
      <c r="H13" s="4020">
        <v>8</v>
      </c>
      <c r="I13" s="4020">
        <v>8</v>
      </c>
      <c r="J13" s="4020">
        <v>8</v>
      </c>
      <c r="K13" s="4020">
        <v>8</v>
      </c>
      <c r="L13" s="4020">
        <v>8</v>
      </c>
      <c r="M13" s="402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15BAA-7E5A-5615-F20B-2F6D7395EC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348" width="1.7109375" customWidth="1"/>
    <col min="2" max="2" style="7348" width="34.57421875" customWidth="1"/>
    <col min="3" max="3" style="7348" width="85.00390625" customWidth="1"/>
    <col min="4" max="4" style="7348" width="17.00390625" customWidth="1"/>
    <col min="5" max="5" style="7348" width="8.00390625" customWidth="1"/>
    <col min="6" max="6" style="7348" width="9.140625" hidden="1"/>
  </cols>
  <sheetData>
    <row customHeight="1" ht="3">
      <c r="F1" s="164" t="s">
        <v>14</v>
      </c>
    </row>
    <row customHeight="1" ht="22.5">
      <c r="B2" s="1288" t="s">
        <v>1924</v>
      </c>
      <c r="C2" s="1288"/>
      <c r="D2" s="1288"/>
      <c r="F2" s="164">
        <v>22</v>
      </c>
    </row>
    <row customHeight="1" ht="3">
      <c r="F3" s="164">
        <v>3</v>
      </c>
    </row>
    <row customHeight="1" ht="23.25">
      <c r="B4" s="1289" t="s">
        <v>1925</v>
      </c>
      <c r="C4" s="1289" t="s">
        <v>1926</v>
      </c>
      <c r="D4" s="1289" t="s">
        <v>1927</v>
      </c>
      <c r="F4" s="164">
        <v>22</v>
      </c>
    </row>
    <row customHeight="1" ht="11.25" hidden="1">
      <c r="A5" s="164" t="s">
        <v>80</v>
      </c>
      <c r="B5" s="164">
        <v>34</v>
      </c>
      <c r="C5" s="164">
        <v>85</v>
      </c>
      <c r="D5" s="164">
        <v>17</v>
      </c>
      <c r="E5" s="164">
        <v>8</v>
      </c>
      <c r="F5" s="16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18A57-1014-C875-71D9-122E6DE6D0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348" width="26.57421875" customWidth="1"/>
    <col min="2" max="2" style="7348" width="10.00390625" customWidth="1"/>
    <col min="4" max="4" style="7348" width="11.140625" customWidth="1"/>
    <col min="5" max="5" style="7348" width="16.57421875" customWidth="1"/>
    <col min="6" max="6" style="7348" width="16.28125" customWidth="1"/>
    <col min="7" max="7" style="7348" width="19.140625" customWidth="1"/>
    <col min="8" max="11" style="7348" width="10.00390625" customWidth="1"/>
    <col min="12" max="12" style="7348" width="12.7109375" customWidth="1"/>
    <col min="13" max="13" style="7348" width="61.28125" customWidth="1"/>
    <col min="14" max="14" style="7348" width="10.00390625" customWidth="1"/>
    <col min="15" max="17" style="7348" width="23.7109375" customWidth="1"/>
    <col min="18" max="18" style="7348" width="11.7109375" customWidth="1"/>
    <col min="19" max="19" style="7348" width="8.57421875" customWidth="1"/>
    <col min="20" max="20" style="7348" width="11.7109375" customWidth="1"/>
    <col min="21" max="21" style="7348" width="8.57421875" customWidth="1"/>
    <col min="22" max="22" style="7348" width="4.7109375" customWidth="1"/>
    <col min="23" max="23" style="7348" width="115.7109375" customWidth="1"/>
    <col min="24" max="24" style="7348" width="115.28125" customWidth="1"/>
    <col min="28" max="28" style="7348" width="115.7109375" customWidth="1"/>
    <col min="30" max="90" style="7348" width="115.7109375" customWidth="1"/>
  </cols>
  <sheetData>
    <row r="2" customHeight="1" ht="17.25">
      <c r="A2" s="550" t="s">
        <v>1928</v>
      </c>
    </row>
    <row r="4" customHeight="1" ht="15">
      <c r="C4" s="3602"/>
      <c r="D4" s="3707"/>
      <c r="E4" s="413"/>
    </row>
    <row r="6" customHeight="1" ht="17.25">
      <c r="A6" s="550" t="s">
        <v>1929</v>
      </c>
    </row>
    <row r="8" customHeight="1" ht="17.25">
      <c r="C8" s="3708"/>
      <c r="D8" s="3707"/>
      <c r="E8" s="355"/>
    </row>
    <row r="11" customHeight="1" ht="17.25">
      <c r="A11" s="550" t="s">
        <v>1930</v>
      </c>
    </row>
    <row r="13" customHeight="1" ht="15">
      <c r="A13" s="3618">
        <v>1</v>
      </c>
      <c r="C13" s="3709" t="s">
        <v>119</v>
      </c>
      <c r="E13" s="3480">
        <f>A13</f>
        <v>1</v>
      </c>
      <c r="F13" s="3526"/>
      <c r="G13" s="157" t="str">
        <f>"Территория "&amp;E13</f>
        <v>Территория 1</v>
      </c>
      <c r="H13" s="158"/>
      <c r="I13" s="158"/>
    </row>
    <row customHeight="1" ht="15">
      <c r="B14" s="3449">
        <v>1</v>
      </c>
      <c r="D14" s="3482"/>
      <c r="E14" s="3483" t="str">
        <f>A13&amp;"."&amp;B14</f>
        <v>1.1</v>
      </c>
      <c r="F14" s="3710">
        <f>$F$20</f>
        <v>0</v>
      </c>
      <c r="G14" s="162"/>
      <c r="H14" s="162"/>
      <c r="I14" s="163"/>
      <c r="M14" s="3479" t="str">
        <f t="array" ref="M14:M14">IF(ISERROR(MATCH(MID(N14,1,250),MID(note_ter,1,250),0)),"n","y")</f>
        <v>n</v>
      </c>
      <c r="O14" s="3479" t="str">
        <f>H14&amp;"("&amp;I14&amp;")"</f>
        <v>()</v>
      </c>
    </row>
    <row customHeight="1" ht="15">
      <c r="E15" s="165"/>
      <c r="F15" s="166"/>
      <c r="G15" s="167" t="s">
        <v>100</v>
      </c>
      <c r="H15" s="168"/>
      <c r="I15" s="169"/>
    </row>
    <row r="17" customHeight="1" ht="17.25">
      <c r="A17" s="550" t="s">
        <v>1931</v>
      </c>
    </row>
    <row r="19" customHeight="1" ht="15">
      <c r="B19" s="3449">
        <v>1</v>
      </c>
      <c r="D19" s="3482" t="s">
        <v>119</v>
      </c>
      <c r="E19" s="3480"/>
      <c r="F19" s="3711">
        <f>$F$20</f>
        <v>0</v>
      </c>
      <c r="G19" s="556"/>
      <c r="H19" s="556"/>
      <c r="I19" s="557"/>
      <c r="M19" s="3479" t="str">
        <f t="array" ref="M19:M19">IF(ISERROR(MATCH(MID(N19,1,250),MID(note_ter,1,250),0)),"n","y")</f>
        <v>n</v>
      </c>
      <c r="O19" s="3479" t="str">
        <f>H19&amp;"("&amp;I19&amp;")"</f>
        <v>()</v>
      </c>
    </row>
    <row r="21" customHeight="1" ht="15">
      <c r="A21" s="550" t="s">
        <v>1932</v>
      </c>
      <c r="B21" s="550"/>
      <c r="C21" s="550"/>
      <c r="D21" s="550"/>
      <c r="E21" s="550"/>
      <c r="F21" s="550"/>
      <c r="G21" s="550"/>
      <c r="H21" s="550"/>
      <c r="I21" s="550"/>
      <c r="J21" s="550"/>
      <c r="K21" s="550"/>
      <c r="L21" s="550"/>
      <c r="M21" s="550"/>
      <c r="N21" s="550"/>
      <c r="O21" s="550"/>
      <c r="P21" s="550"/>
      <c r="Q21" s="550"/>
      <c r="R21" s="550"/>
      <c r="S21" s="550"/>
      <c r="T21" s="550"/>
      <c r="U21" s="558"/>
      <c r="V21" s="550"/>
      <c r="W21" s="550"/>
    </row>
    <row customHeight="1" ht="15"/>
    <row customHeight="1" ht="15">
      <c r="C23" s="3712" t="s">
        <v>119</v>
      </c>
      <c r="D23" s="204" t="s">
        <v>107</v>
      </c>
      <c r="E23" s="3507"/>
      <c r="F23" s="210" t="s">
        <v>19</v>
      </c>
      <c r="G23" s="560"/>
      <c r="H23" s="3480">
        <v>1</v>
      </c>
      <c r="I23" s="3713" t="str">
        <f>IF(U23="","",INDEX(TERRITORY_MR_LIST,MATCH(U23,TERRITORY_LIST_ID,0)))</f>
        <v/>
      </c>
      <c r="J23" s="210" t="s">
        <v>19</v>
      </c>
      <c r="K23" s="3714"/>
      <c r="L23" s="204" t="s">
        <v>107</v>
      </c>
      <c r="M23" s="563"/>
      <c r="Y23" s="3511" t="s">
        <v>118</v>
      </c>
      <c r="Z23" s="3511">
        <v>1705000</v>
      </c>
    </row>
    <row customHeight="1" ht="15">
      <c r="D24" s="204"/>
      <c r="E24" s="3513"/>
      <c r="F24" s="210"/>
      <c r="G24" s="564"/>
      <c r="H24" s="3480"/>
      <c r="I24" s="3715"/>
      <c r="J24" s="210"/>
      <c r="K24" s="165"/>
      <c r="L24" s="166"/>
      <c r="M24" s="220" t="s">
        <v>137</v>
      </c>
    </row>
    <row customHeight="1" ht="15">
      <c r="D25" s="204"/>
      <c r="E25" s="3515"/>
      <c r="F25" s="210"/>
      <c r="G25" s="165"/>
      <c r="H25" s="166"/>
      <c r="I25" s="167" t="s">
        <v>138</v>
      </c>
      <c r="J25" s="166"/>
      <c r="K25" s="166"/>
      <c r="L25" s="166"/>
      <c r="M25" s="224"/>
    </row>
    <row customHeight="1" ht="15"/>
    <row customHeight="1" ht="15">
      <c r="A27" s="550" t="s">
        <v>1933</v>
      </c>
      <c r="B27" s="550"/>
      <c r="C27" s="550"/>
      <c r="D27" s="550"/>
      <c r="E27" s="550"/>
      <c r="F27" s="550"/>
      <c r="G27" s="550"/>
      <c r="H27" s="550"/>
      <c r="I27" s="550"/>
      <c r="J27" s="550"/>
      <c r="K27" s="550"/>
      <c r="L27" s="550"/>
      <c r="M27" s="550"/>
      <c r="N27" s="550"/>
      <c r="O27" s="550"/>
      <c r="P27" s="550"/>
      <c r="Q27" s="550"/>
      <c r="R27" s="550"/>
      <c r="S27" s="550"/>
      <c r="T27" s="550"/>
      <c r="U27" s="558"/>
      <c r="V27" s="550"/>
      <c r="W27" s="550"/>
    </row>
    <row customHeight="1" ht="15"/>
    <row customHeight="1" ht="15">
      <c r="D29" s="215"/>
      <c r="E29" s="215"/>
      <c r="F29" s="215"/>
      <c r="G29" s="3512" t="s">
        <v>119</v>
      </c>
      <c r="H29" s="3436">
        <v>1</v>
      </c>
      <c r="I29" s="3463" t="str">
        <f>IF(U29="","",INDEX(TERRITORY_MR_LIST,MATCH(U29,TERRITORY_LIST_ID,0)))</f>
        <v/>
      </c>
      <c r="J29" s="210" t="s">
        <v>19</v>
      </c>
      <c r="K29" s="3714"/>
      <c r="L29" s="204" t="s">
        <v>107</v>
      </c>
      <c r="M29" s="563"/>
      <c r="Y29" s="3511" t="s">
        <v>118</v>
      </c>
      <c r="Z29" s="3511">
        <v>1705000</v>
      </c>
    </row>
    <row customHeight="1" ht="15">
      <c r="D30" s="215"/>
      <c r="E30" s="215"/>
      <c r="F30" s="215"/>
      <c r="G30" s="3512"/>
      <c r="H30" s="3436"/>
      <c r="I30" s="3463"/>
      <c r="J30" s="210"/>
      <c r="K30" s="165"/>
      <c r="L30" s="166"/>
      <c r="M30" s="220" t="s">
        <v>137</v>
      </c>
    </row>
    <row customHeight="1" ht="15"/>
    <row customHeight="1" ht="15">
      <c r="A32" s="550" t="s">
        <v>1934</v>
      </c>
      <c r="B32" s="550"/>
      <c r="C32" s="550"/>
      <c r="D32" s="550"/>
      <c r="E32" s="550"/>
      <c r="F32" s="550"/>
      <c r="G32" s="550"/>
      <c r="H32" s="550"/>
      <c r="I32" s="550"/>
      <c r="J32" s="550"/>
      <c r="K32" s="550"/>
      <c r="L32" s="550"/>
      <c r="M32" s="550"/>
      <c r="N32" s="550"/>
      <c r="O32" s="550"/>
      <c r="P32" s="550"/>
      <c r="Q32" s="550"/>
      <c r="R32" s="550"/>
      <c r="S32" s="550"/>
      <c r="T32" s="550"/>
      <c r="U32" s="558"/>
      <c r="V32" s="550"/>
      <c r="W32" s="550"/>
    </row>
    <row customHeight="1" ht="15"/>
    <row customHeight="1" ht="15">
      <c r="D34" s="215"/>
      <c r="E34" s="215"/>
      <c r="F34" s="215"/>
      <c r="G34" s="215"/>
      <c r="H34" s="215"/>
      <c r="I34" s="215"/>
      <c r="J34" s="215"/>
      <c r="K34" s="3512" t="s">
        <v>119</v>
      </c>
      <c r="L34" s="217" t="s">
        <v>107</v>
      </c>
      <c r="M34" s="212"/>
      <c r="N34" s="3504"/>
      <c r="Y34" s="3511" t="s">
        <v>118</v>
      </c>
      <c r="Z34" s="3511">
        <v>1705000</v>
      </c>
    </row>
    <row customHeight="1" ht="15"/>
    <row customHeight="1" ht="15"/>
    <row customHeight="1" ht="11.25">
      <c r="A37" s="550" t="s">
        <v>1935</v>
      </c>
    </row>
    <row customHeight="1" ht="11.25"/>
    <row customHeight="1" ht="22.5">
      <c r="A39" s="328"/>
      <c r="B39" s="3450"/>
      <c r="C39" s="3716"/>
      <c r="D39" s="3589"/>
      <c r="E39" s="350"/>
      <c r="F39" s="358"/>
      <c r="G39" s="215"/>
      <c r="H39" s="3583"/>
    </row>
    <row customHeight="1" ht="11.25"/>
    <row customHeight="1" ht="11.25">
      <c r="A41" s="550" t="s">
        <v>1936</v>
      </c>
    </row>
    <row customHeight="1" ht="11.25"/>
    <row customHeight="1" ht="22.5">
      <c r="A43" s="3450"/>
      <c r="B43" s="3450"/>
      <c r="C43" s="3450"/>
      <c r="D43" s="3589"/>
      <c r="E43" s="350"/>
      <c r="F43" s="351"/>
      <c r="G43" s="215"/>
      <c r="H43" s="3583"/>
    </row>
    <row customHeight="1" ht="11.25"/>
    <row customHeight="1" ht="11.25">
      <c r="A45" s="550" t="s">
        <v>1937</v>
      </c>
    </row>
    <row customHeight="1" ht="11.25"/>
    <row customHeight="1" ht="24">
      <c r="A47" s="328" t="s">
        <v>328</v>
      </c>
      <c r="B47" s="3576"/>
      <c r="C47" s="3588"/>
      <c r="D47" s="322" t="str">
        <f>A47</f>
        <v>5.1</v>
      </c>
      <c r="E47" s="3586" t="s">
        <v>329</v>
      </c>
      <c r="F47" s="3525" t="s">
        <v>321</v>
      </c>
      <c r="G47" s="3584" t="s">
        <v>330</v>
      </c>
      <c r="H47" s="3583"/>
    </row>
    <row customHeight="1" ht="22.5">
      <c r="A48" s="328"/>
      <c r="B48" s="3576"/>
      <c r="C48" s="3588"/>
      <c r="D48" s="3589" t="str">
        <f>D47&amp;".1"</f>
        <v>5.1.1</v>
      </c>
      <c r="E48" s="3590" t="s">
        <v>331</v>
      </c>
      <c r="F48" s="326" t="s">
        <v>22</v>
      </c>
      <c r="G48" s="3585"/>
      <c r="H48" s="3583"/>
    </row>
    <row customHeight="1" ht="22.5">
      <c r="A49" s="328"/>
      <c r="B49" s="3576"/>
      <c r="C49" s="3588"/>
      <c r="D49" s="3589" t="str">
        <f>D47&amp;".2"</f>
        <v>5.1.2</v>
      </c>
      <c r="E49" s="3590" t="s">
        <v>332</v>
      </c>
      <c r="F49" s="99" t="s">
        <v>22</v>
      </c>
      <c r="G49" s="3584" t="s">
        <v>333</v>
      </c>
      <c r="H49" s="3583"/>
    </row>
    <row customHeight="1" ht="22.5">
      <c r="A50" s="328"/>
      <c r="B50" s="3576"/>
      <c r="C50" s="3588"/>
      <c r="D50" s="3589" t="str">
        <f>D47&amp;".3"</f>
        <v>5.1.3</v>
      </c>
      <c r="E50" s="3590" t="s">
        <v>334</v>
      </c>
      <c r="F50" s="326" t="s">
        <v>22</v>
      </c>
      <c r="G50" s="3585"/>
      <c r="H50" s="3583"/>
    </row>
    <row customHeight="1" ht="22.5">
      <c r="A51" s="328"/>
      <c r="B51" s="3576"/>
      <c r="C51" s="3588"/>
      <c r="D51" s="3589" t="str">
        <f>D47&amp;".4"</f>
        <v>5.1.4</v>
      </c>
      <c r="E51" s="3590" t="s">
        <v>335</v>
      </c>
      <c r="F51" s="326" t="s">
        <v>22</v>
      </c>
      <c r="G51" s="3584" t="s">
        <v>336</v>
      </c>
      <c r="H51" s="3583"/>
    </row>
    <row r="54" customHeight="1" ht="17.25">
      <c r="A54" s="550" t="s">
        <v>1938</v>
      </c>
    </row>
    <row r="56" customHeight="1" ht="18.75">
      <c r="D56" s="3651"/>
      <c r="E56" s="3717"/>
      <c r="F56" s="3718">
        <v>13</v>
      </c>
      <c r="G56" s="569"/>
      <c r="H56" s="162"/>
      <c r="I56" s="163"/>
      <c r="J56" s="430" t="s">
        <v>61</v>
      </c>
      <c r="K56" s="570" t="s">
        <v>22</v>
      </c>
      <c r="P56" s="3653" t="s">
        <v>407</v>
      </c>
      <c r="Q56" s="3653" t="s">
        <v>408</v>
      </c>
      <c r="R56" s="433" t="s">
        <v>409</v>
      </c>
      <c r="S56" s="3473" t="s">
        <v>410</v>
      </c>
    </row>
    <row r="58" customHeight="1" ht="11.25">
      <c r="A58" s="550" t="s">
        <v>1939</v>
      </c>
    </row>
    <row r="60" customHeight="1" ht="14.25">
      <c r="C60" s="3602"/>
      <c r="D60" s="395"/>
      <c r="E60" s="344" t="s">
        <v>22</v>
      </c>
      <c r="F60" s="3638"/>
      <c r="G60" s="397"/>
      <c r="H60" s="398"/>
      <c r="I60" s="398"/>
      <c r="J60" s="399"/>
      <c r="K60" s="400"/>
      <c r="L60" s="3639"/>
      <c r="M60" s="400"/>
      <c r="N60" s="399"/>
      <c r="O60" s="400"/>
      <c r="P60" s="399"/>
      <c r="Q60" s="400"/>
      <c r="R60" s="399"/>
      <c r="S60" s="402"/>
      <c r="T60" s="398"/>
      <c r="U60" s="399"/>
      <c r="V60" s="399"/>
      <c r="W60" s="3632"/>
      <c r="X60" s="398"/>
      <c r="Y60" s="399"/>
      <c r="Z60" s="399"/>
      <c r="AA60" s="3632"/>
      <c r="AB60" s="398"/>
      <c r="AC60" s="399"/>
      <c r="AD60" s="3632"/>
      <c r="AP60" s="3479" t="s">
        <v>396</v>
      </c>
      <c r="AQ60" s="3479" t="s">
        <v>396</v>
      </c>
    </row>
    <row r="62" customHeight="1" ht="11.25">
      <c r="A62" s="550" t="s">
        <v>1940</v>
      </c>
    </row>
    <row r="64" customHeight="1" ht="15">
      <c r="A64" s="571" t="s">
        <v>88</v>
      </c>
      <c r="B64" s="3399" t="s">
        <v>22</v>
      </c>
      <c r="D64" s="204"/>
      <c r="E64" s="413"/>
      <c r="F64" s="413"/>
      <c r="G64" s="572"/>
      <c r="H64" s="570"/>
      <c r="I64" s="573"/>
    </row>
    <row r="66" customHeight="1" ht="11.25">
      <c r="A66" s="550" t="s">
        <v>1941</v>
      </c>
    </row>
    <row r="68" customHeight="1" ht="14.25">
      <c r="C68" s="3719"/>
      <c r="D68" s="313"/>
      <c r="E68" s="3720"/>
      <c r="F68" s="570"/>
    </row>
    <row r="70" customHeight="1" ht="11.25">
      <c r="A70" s="550" t="s">
        <v>1942</v>
      </c>
    </row>
    <row r="72" customHeight="1" ht="27">
      <c r="E72" s="3721"/>
      <c r="F72" s="577"/>
      <c r="G72" s="3722"/>
      <c r="H72" s="579" t="s">
        <v>61</v>
      </c>
      <c r="I72" s="580"/>
      <c r="J72" s="581"/>
      <c r="K72" s="582"/>
      <c r="L72" s="583"/>
      <c r="M72" s="583"/>
      <c r="N72" s="584"/>
      <c r="O72" s="584"/>
      <c r="P72" s="3723">
        <f>DATEDIF(DATEVALUE(N72),DATEVALUE(O72),"y")&amp;"г. "&amp;DATEDIF(DATEVALUE(N72),DATEVALUE(O72),"ym")&amp;"мес. "&amp;DATEVALUE(O72)-DATE(YEAR(DATEVALUE(O72)),MONTH(DATEVALUE(O72)),1)&amp;"дн. "</f>
      </c>
      <c r="Q72" s="3724"/>
      <c r="R72" s="3724"/>
      <c r="S72" s="3724"/>
      <c r="T72" s="581"/>
      <c r="U72" s="3724"/>
      <c r="V72" s="3724"/>
      <c r="W72" s="3724"/>
      <c r="X72" s="581"/>
      <c r="Y72" s="587" t="s">
        <v>61</v>
      </c>
      <c r="Z72" s="3557"/>
      <c r="AA72" s="3480">
        <v>1</v>
      </c>
      <c r="AB72" s="588"/>
      <c r="AD72" s="3473" t="s">
        <v>1943</v>
      </c>
    </row>
    <row customHeight="1" ht="10.5">
      <c r="E73" s="3725"/>
      <c r="F73" s="577"/>
      <c r="G73" s="3722"/>
      <c r="H73" s="590"/>
      <c r="I73" s="591"/>
      <c r="J73" s="592"/>
      <c r="K73" s="582"/>
      <c r="L73" s="583"/>
      <c r="M73" s="583"/>
      <c r="N73" s="584"/>
      <c r="O73" s="584"/>
      <c r="P73" s="3723"/>
      <c r="Q73" s="3724"/>
      <c r="R73" s="3724"/>
      <c r="S73" s="3724"/>
      <c r="T73" s="592"/>
      <c r="U73" s="3724"/>
      <c r="V73" s="3724"/>
      <c r="W73" s="3724"/>
      <c r="X73" s="592"/>
      <c r="Y73" s="593"/>
      <c r="Z73" s="3726"/>
      <c r="AA73" s="3727"/>
      <c r="AB73" s="220" t="s">
        <v>1944</v>
      </c>
    </row>
    <row r="75" customHeight="1" ht="11.25">
      <c r="A75" s="550" t="s">
        <v>1945</v>
      </c>
    </row>
    <row r="77" customHeight="1" ht="27">
      <c r="E77" s="3721"/>
      <c r="F77" s="596"/>
      <c r="G77" s="3728"/>
      <c r="H77" s="598"/>
      <c r="I77" s="599"/>
      <c r="J77" s="600"/>
      <c r="K77" s="601"/>
      <c r="L77" s="602"/>
      <c r="M77" s="602"/>
      <c r="N77" s="603"/>
      <c r="O77" s="603"/>
      <c r="P77" s="3729"/>
      <c r="Q77" s="3730"/>
      <c r="R77" s="3730"/>
      <c r="S77" s="3730"/>
      <c r="T77" s="600"/>
      <c r="U77" s="3730"/>
      <c r="V77" s="3730"/>
      <c r="W77" s="3730"/>
      <c r="X77" s="600"/>
      <c r="Y77" s="598"/>
      <c r="Z77" s="3557"/>
      <c r="AA77" s="3480">
        <v>1</v>
      </c>
      <c r="AB77" s="588"/>
      <c r="AD77" s="3473" t="s">
        <v>1943</v>
      </c>
    </row>
    <row r="79" customHeight="1" ht="11.25">
      <c r="A79" s="550" t="s">
        <v>1946</v>
      </c>
    </row>
    <row customHeight="1" ht="17.25"/>
    <row customHeight="1" ht="21">
      <c r="E81" s="3450"/>
      <c r="F81" s="3731">
        <f>INDEX(IP_MAIN_LIST_NAME_IP,MATCH(A81,IP_MAIN_LIST_IP_ID,0))&amp;" ("&amp;INDEX(IP_MAIN_START_DATE,MATCH(A81,IP_MAIN_LIST_IP_ID,0))&amp;"-"&amp;INDEX(IP_MAIN_END_DATE,MATCH(A81,IP_MAIN_LIST_IP_ID,0))&amp;")"</f>
      </c>
      <c r="G81" s="3732"/>
      <c r="H81" s="3732"/>
      <c r="I81" s="3733"/>
      <c r="J81" s="3733"/>
      <c r="K81" s="3734"/>
      <c r="L81" s="3734"/>
      <c r="M81" s="3734"/>
      <c r="N81" s="3735"/>
      <c r="O81" s="3735"/>
      <c r="P81" s="3735"/>
      <c r="Q81" s="3735"/>
      <c r="R81" s="3735"/>
      <c r="S81" s="3735"/>
      <c r="T81" s="3735"/>
      <c r="U81" s="3735"/>
      <c r="V81" s="3735"/>
      <c r="W81" s="3735"/>
      <c r="X81" s="3735"/>
      <c r="Y81" s="3735"/>
      <c r="Z81" s="3735"/>
      <c r="AA81" s="3735"/>
      <c r="AB81" s="3735"/>
      <c r="AC81" s="3735"/>
      <c r="AD81" s="3735"/>
      <c r="AE81" s="3736"/>
      <c r="AF81" s="3734"/>
      <c r="AG81" s="3734"/>
      <c r="AH81" s="3734"/>
      <c r="AI81" s="3734"/>
      <c r="AJ81" s="3734"/>
      <c r="AK81" s="3734"/>
      <c r="AL81" s="3737"/>
    </row>
    <row customHeight="1" ht="0.75">
      <c r="E82" s="3450"/>
      <c r="F82" s="557"/>
      <c r="G82" s="217"/>
      <c r="H82" s="613" t="s">
        <v>391</v>
      </c>
      <c r="I82" s="614"/>
      <c r="J82" s="158"/>
      <c r="K82" s="158"/>
      <c r="L82" s="615"/>
      <c r="M82" s="616"/>
      <c r="N82" s="617"/>
      <c r="O82" s="618"/>
      <c r="P82" s="617"/>
      <c r="Q82" s="617"/>
      <c r="R82" s="617"/>
      <c r="S82" s="617"/>
      <c r="T82" s="617"/>
      <c r="U82" s="617"/>
      <c r="V82" s="617"/>
      <c r="W82" s="617"/>
      <c r="X82" s="617"/>
      <c r="Y82" s="617"/>
      <c r="Z82" s="617"/>
      <c r="AA82" s="617"/>
      <c r="AB82" s="617"/>
      <c r="AC82" s="617"/>
      <c r="AD82" s="617"/>
      <c r="AE82" s="617"/>
      <c r="AF82" s="619"/>
      <c r="AG82" s="615"/>
      <c r="AH82" s="615"/>
      <c r="AI82" s="619"/>
      <c r="AJ82" s="615"/>
      <c r="AK82" s="615"/>
      <c r="AL82" s="3737"/>
    </row>
    <row customHeight="1" ht="0.75">
      <c r="E83" s="3450"/>
      <c r="F83" s="557"/>
      <c r="G83" s="217"/>
      <c r="H83" s="613"/>
      <c r="I83" s="614"/>
      <c r="J83" s="158"/>
      <c r="K83" s="158"/>
      <c r="L83" s="615"/>
      <c r="M83" s="616"/>
      <c r="N83" s="620"/>
      <c r="O83" s="3738"/>
      <c r="P83" s="622"/>
      <c r="Q83" s="158"/>
      <c r="R83" s="158"/>
      <c r="S83" s="158"/>
      <c r="T83" s="158"/>
      <c r="U83" s="158"/>
      <c r="V83" s="158"/>
      <c r="W83" s="158"/>
      <c r="X83" s="158"/>
      <c r="Y83" s="158"/>
      <c r="Z83" s="623"/>
      <c r="AA83" s="624"/>
      <c r="AB83" s="624"/>
      <c r="AC83" s="625"/>
      <c r="AD83" s="625"/>
      <c r="AE83" s="626"/>
      <c r="AF83" s="619"/>
      <c r="AG83" s="615"/>
      <c r="AH83" s="615"/>
      <c r="AI83" s="619"/>
      <c r="AJ83" s="615"/>
      <c r="AK83" s="615"/>
      <c r="AL83" s="3737"/>
    </row>
    <row customHeight="1" ht="0.75">
      <c r="E84" s="3450"/>
      <c r="F84" s="557"/>
      <c r="G84" s="217"/>
      <c r="H84" s="613"/>
      <c r="I84" s="614"/>
      <c r="J84" s="158"/>
      <c r="K84" s="158"/>
      <c r="L84" s="615"/>
      <c r="M84" s="616"/>
      <c r="N84" s="620"/>
      <c r="O84" s="3738"/>
      <c r="P84" s="627"/>
      <c r="Q84" s="158"/>
      <c r="R84" s="158"/>
      <c r="S84" s="158"/>
      <c r="T84" s="158"/>
      <c r="U84" s="158"/>
      <c r="V84" s="158"/>
      <c r="W84" s="158"/>
      <c r="X84" s="158"/>
      <c r="Y84" s="158"/>
      <c r="AA84" s="3738"/>
      <c r="AB84" s="3739"/>
      <c r="AC84" s="629"/>
      <c r="AD84" s="3739"/>
      <c r="AE84" s="629"/>
      <c r="AF84" s="619"/>
      <c r="AG84" s="615"/>
      <c r="AH84" s="615"/>
      <c r="AI84" s="619"/>
      <c r="AJ84" s="615"/>
      <c r="AK84" s="615"/>
      <c r="AL84" s="3737"/>
    </row>
    <row customHeight="1" ht="0.75">
      <c r="E85" s="3450"/>
      <c r="F85" s="557"/>
      <c r="G85" s="217"/>
      <c r="H85" s="613"/>
      <c r="I85" s="614"/>
      <c r="J85" s="158"/>
      <c r="K85" s="158"/>
      <c r="L85" s="615"/>
      <c r="M85" s="616"/>
      <c r="N85" s="620"/>
      <c r="O85" s="3738"/>
      <c r="P85" s="630"/>
      <c r="Q85" s="158"/>
      <c r="R85" s="158"/>
      <c r="S85" s="158"/>
      <c r="T85" s="158"/>
      <c r="U85" s="158"/>
      <c r="V85" s="158"/>
      <c r="W85" s="158"/>
      <c r="X85" s="158"/>
      <c r="Y85" s="158"/>
      <c r="Z85" s="623"/>
      <c r="AA85" s="624"/>
      <c r="AB85" s="631"/>
      <c r="AC85" s="625"/>
      <c r="AD85" s="625"/>
      <c r="AE85" s="632"/>
      <c r="AF85" s="619"/>
      <c r="AG85" s="615"/>
      <c r="AH85" s="615"/>
      <c r="AI85" s="619"/>
      <c r="AJ85" s="615"/>
      <c r="AK85" s="615"/>
      <c r="AL85" s="3737"/>
    </row>
    <row customHeight="1" ht="0.75">
      <c r="E86" s="3450"/>
      <c r="F86" s="557"/>
      <c r="G86" s="217"/>
      <c r="H86" s="613"/>
      <c r="I86" s="614"/>
      <c r="J86" s="158"/>
      <c r="K86" s="158"/>
      <c r="L86" s="615"/>
      <c r="M86" s="616"/>
      <c r="N86" s="624"/>
      <c r="O86" s="624"/>
      <c r="P86" s="631"/>
      <c r="Q86" s="624"/>
      <c r="R86" s="624"/>
      <c r="S86" s="624"/>
      <c r="T86" s="624"/>
      <c r="U86" s="624"/>
      <c r="V86" s="624"/>
      <c r="W86" s="624"/>
      <c r="X86" s="624"/>
      <c r="Y86" s="624"/>
      <c r="Z86" s="624"/>
      <c r="AA86" s="624"/>
      <c r="AB86" s="624"/>
      <c r="AC86" s="624"/>
      <c r="AD86" s="624"/>
      <c r="AE86" s="633"/>
      <c r="AF86" s="619"/>
      <c r="AG86" s="615"/>
      <c r="AH86" s="615"/>
      <c r="AI86" s="619"/>
      <c r="AJ86" s="615"/>
      <c r="AK86" s="615"/>
      <c r="AL86" s="3737"/>
    </row>
    <row customHeight="1" ht="12">
      <c r="E87" s="3450"/>
      <c r="F87" s="634"/>
      <c r="G87" s="3740"/>
      <c r="H87" s="3740"/>
      <c r="I87" s="636" t="s">
        <v>1947</v>
      </c>
      <c r="J87" s="636"/>
      <c r="K87" s="636"/>
      <c r="L87" s="3741"/>
      <c r="M87" s="3741"/>
      <c r="N87" s="3742"/>
      <c r="O87" s="3742"/>
      <c r="P87" s="3742"/>
      <c r="Q87" s="3742"/>
      <c r="R87" s="3742"/>
      <c r="S87" s="3742"/>
      <c r="T87" s="3742"/>
      <c r="U87" s="3742"/>
      <c r="V87" s="3742"/>
      <c r="W87" s="3742"/>
      <c r="X87" s="3742"/>
      <c r="Y87" s="3742"/>
      <c r="Z87" s="3742"/>
      <c r="AA87" s="3742"/>
      <c r="AB87" s="3742"/>
      <c r="AC87" s="3742"/>
      <c r="AD87" s="3742"/>
      <c r="AE87" s="3742"/>
      <c r="AF87" s="3742"/>
      <c r="AG87" s="3741"/>
      <c r="AH87" s="3741"/>
      <c r="AI87" s="3742"/>
      <c r="AJ87" s="3741"/>
      <c r="AK87" s="3742"/>
      <c r="AL87" s="3737"/>
    </row>
    <row r="89" customHeight="1" ht="11.25">
      <c r="A89" s="550" t="s">
        <v>1948</v>
      </c>
    </row>
    <row r="91" customHeight="1" ht="11.25">
      <c r="E91" s="3450"/>
      <c r="F91" s="639"/>
      <c r="G91" s="640"/>
      <c r="H91" s="640"/>
      <c r="I91" s="641"/>
      <c r="J91" s="641"/>
      <c r="K91" s="642"/>
      <c r="L91" s="641"/>
      <c r="M91" s="640"/>
      <c r="N91" s="643"/>
      <c r="O91" s="3743">
        <v>1</v>
      </c>
      <c r="P91" s="645" t="s">
        <v>19</v>
      </c>
      <c r="Q91" s="421" t="s">
        <v>22</v>
      </c>
      <c r="R91" s="421" t="s">
        <v>22</v>
      </c>
      <c r="S91" s="421" t="s">
        <v>22</v>
      </c>
      <c r="T91" s="421" t="s">
        <v>22</v>
      </c>
      <c r="U91" s="421" t="s">
        <v>22</v>
      </c>
      <c r="V91" s="421" t="s">
        <v>22</v>
      </c>
      <c r="W91" s="421" t="s">
        <v>22</v>
      </c>
      <c r="X91" s="421" t="s">
        <v>22</v>
      </c>
      <c r="Y91" s="421"/>
      <c r="Z91" s="646"/>
      <c r="AA91" s="647"/>
      <c r="AB91" s="647"/>
      <c r="AC91" s="648"/>
      <c r="AD91" s="648"/>
      <c r="AE91" s="648"/>
      <c r="AF91" s="649"/>
      <c r="AG91" s="650"/>
      <c r="AH91" s="650"/>
      <c r="AI91" s="649"/>
      <c r="AJ91" s="650"/>
      <c r="AK91" s="651"/>
      <c r="AL91" s="3737"/>
    </row>
    <row customHeight="1" ht="11.25">
      <c r="E92" s="3450"/>
      <c r="F92" s="639"/>
      <c r="G92" s="640"/>
      <c r="H92" s="640"/>
      <c r="I92" s="652"/>
      <c r="J92" s="652"/>
      <c r="K92" s="642"/>
      <c r="L92" s="652"/>
      <c r="M92" s="640"/>
      <c r="N92" s="643"/>
      <c r="O92" s="3743"/>
      <c r="P92" s="653"/>
      <c r="Q92" s="421"/>
      <c r="R92" s="421"/>
      <c r="S92" s="654"/>
      <c r="T92" s="421"/>
      <c r="U92" s="421"/>
      <c r="V92" s="421"/>
      <c r="W92" s="421"/>
      <c r="X92" s="421"/>
      <c r="Y92" s="421"/>
      <c r="AA92" s="3743">
        <v>1</v>
      </c>
      <c r="AB92" s="3744"/>
      <c r="AC92" s="656"/>
      <c r="AD92" s="3744">
        <f>AB92</f>
        <v>0</v>
      </c>
      <c r="AE92" s="657"/>
      <c r="AF92" s="642"/>
      <c r="AG92" s="650"/>
      <c r="AH92" s="650"/>
      <c r="AI92" s="642"/>
      <c r="AJ92" s="650"/>
      <c r="AK92" s="651"/>
      <c r="AL92" s="3737"/>
    </row>
    <row customHeight="1" ht="11.25">
      <c r="E93" s="3450"/>
      <c r="F93" s="639"/>
      <c r="G93" s="640"/>
      <c r="H93" s="640"/>
      <c r="I93" s="658"/>
      <c r="J93" s="658"/>
      <c r="K93" s="642"/>
      <c r="L93" s="658"/>
      <c r="M93" s="640"/>
      <c r="N93" s="643"/>
      <c r="O93" s="3743"/>
      <c r="P93" s="659"/>
      <c r="Q93" s="421"/>
      <c r="R93" s="421"/>
      <c r="S93" s="654"/>
      <c r="T93" s="421"/>
      <c r="U93" s="421"/>
      <c r="V93" s="421"/>
      <c r="W93" s="421"/>
      <c r="X93" s="421"/>
      <c r="Y93" s="421"/>
      <c r="Z93" s="646"/>
      <c r="AA93" s="647"/>
      <c r="AB93" s="167" t="s">
        <v>1949</v>
      </c>
      <c r="AC93" s="648"/>
      <c r="AD93" s="648"/>
      <c r="AE93" s="648"/>
      <c r="AF93" s="660"/>
      <c r="AG93" s="650"/>
      <c r="AH93" s="650"/>
      <c r="AI93" s="660"/>
      <c r="AJ93" s="650"/>
      <c r="AK93" s="651"/>
      <c r="AL93" s="3737"/>
    </row>
    <row r="95" customHeight="1" ht="11.25">
      <c r="A95" s="550" t="s">
        <v>1950</v>
      </c>
    </row>
    <row r="97" customHeight="1" ht="11.25">
      <c r="E97" s="3450"/>
      <c r="F97" s="640"/>
      <c r="G97" s="640"/>
      <c r="H97" s="640"/>
      <c r="I97" s="640"/>
      <c r="J97" s="640"/>
      <c r="K97" s="640"/>
      <c r="L97" s="640"/>
      <c r="M97" s="640"/>
      <c r="N97" s="640"/>
      <c r="O97" s="640"/>
      <c r="P97" s="640"/>
      <c r="Q97" s="640"/>
      <c r="R97" s="640"/>
      <c r="S97" s="640"/>
      <c r="T97" s="640"/>
      <c r="U97" s="640"/>
      <c r="V97" s="640"/>
      <c r="W97" s="640"/>
      <c r="X97" s="640"/>
      <c r="Y97" s="640"/>
      <c r="Z97" s="661"/>
      <c r="AA97" s="3745">
        <v>1</v>
      </c>
      <c r="AB97" s="3744"/>
      <c r="AC97" s="656"/>
      <c r="AD97" s="3744">
        <f>AB97</f>
        <v>0</v>
      </c>
      <c r="AE97" s="656"/>
      <c r="AF97" s="642"/>
      <c r="AG97" s="650"/>
      <c r="AH97" s="650"/>
      <c r="AI97" s="642"/>
      <c r="AJ97" s="650"/>
      <c r="AK97" s="651"/>
      <c r="AL97" s="3737"/>
    </row>
    <row r="99" customHeight="1" ht="11.25">
      <c r="A99" s="550" t="s">
        <v>1951</v>
      </c>
    </row>
    <row r="101" customHeight="1" ht="11.25">
      <c r="E101" s="3450"/>
      <c r="F101" s="639"/>
      <c r="G101" s="640"/>
      <c r="H101" s="217" t="s">
        <v>107</v>
      </c>
      <c r="I101" s="663"/>
      <c r="J101" s="356"/>
      <c r="K101" s="413"/>
      <c r="L101" s="210" t="s">
        <v>19</v>
      </c>
      <c r="M101" s="204"/>
      <c r="N101" s="664"/>
      <c r="O101" s="665" t="s">
        <v>391</v>
      </c>
      <c r="P101" s="666"/>
      <c r="Q101" s="666"/>
      <c r="R101" s="666"/>
      <c r="S101" s="666"/>
      <c r="T101" s="666"/>
      <c r="U101" s="666"/>
      <c r="V101" s="666"/>
      <c r="W101" s="666"/>
      <c r="X101" s="666"/>
      <c r="Y101" s="666"/>
      <c r="Z101" s="666"/>
      <c r="AA101" s="666"/>
      <c r="AB101" s="666"/>
      <c r="AC101" s="666"/>
      <c r="AD101" s="666"/>
      <c r="AE101" s="666"/>
      <c r="AF101" s="667"/>
      <c r="AG101" s="668"/>
      <c r="AH101" s="668"/>
      <c r="AI101" s="667"/>
      <c r="AJ101" s="668"/>
      <c r="AK101" s="668"/>
      <c r="AL101" s="3737"/>
    </row>
    <row customHeight="1" ht="11.25">
      <c r="E102" s="3450"/>
      <c r="F102" s="639"/>
      <c r="G102" s="640"/>
      <c r="H102" s="217"/>
      <c r="I102" s="663"/>
      <c r="J102" s="356"/>
      <c r="K102" s="413"/>
      <c r="L102" s="210"/>
      <c r="M102" s="204"/>
      <c r="N102" s="643"/>
      <c r="O102" s="3745">
        <v>1</v>
      </c>
      <c r="P102" s="645" t="s">
        <v>19</v>
      </c>
      <c r="Q102" s="421" t="s">
        <v>22</v>
      </c>
      <c r="R102" s="421" t="s">
        <v>22</v>
      </c>
      <c r="S102" s="421" t="s">
        <v>22</v>
      </c>
      <c r="T102" s="421" t="s">
        <v>22</v>
      </c>
      <c r="U102" s="421" t="s">
        <v>22</v>
      </c>
      <c r="V102" s="421" t="s">
        <v>22</v>
      </c>
      <c r="W102" s="421" t="s">
        <v>22</v>
      </c>
      <c r="X102" s="421" t="s">
        <v>22</v>
      </c>
      <c r="Y102" s="421"/>
      <c r="Z102" s="646"/>
      <c r="AA102" s="647"/>
      <c r="AB102" s="647"/>
      <c r="AC102" s="648"/>
      <c r="AD102" s="648"/>
      <c r="AE102" s="669"/>
      <c r="AF102" s="667"/>
      <c r="AG102" s="668"/>
      <c r="AH102" s="668"/>
      <c r="AI102" s="667"/>
      <c r="AJ102" s="668"/>
      <c r="AK102" s="668"/>
      <c r="AL102" s="3737"/>
    </row>
    <row customHeight="1" ht="11.25">
      <c r="E103" s="3450"/>
      <c r="F103" s="639"/>
      <c r="G103" s="640"/>
      <c r="H103" s="217"/>
      <c r="I103" s="663"/>
      <c r="J103" s="356"/>
      <c r="K103" s="413"/>
      <c r="L103" s="210"/>
      <c r="M103" s="204"/>
      <c r="N103" s="643"/>
      <c r="O103" s="3745"/>
      <c r="P103" s="653"/>
      <c r="Q103" s="421"/>
      <c r="R103" s="421"/>
      <c r="S103" s="654"/>
      <c r="T103" s="421"/>
      <c r="U103" s="421"/>
      <c r="V103" s="421"/>
      <c r="W103" s="421"/>
      <c r="X103" s="421"/>
      <c r="Y103" s="421"/>
      <c r="AA103" s="3743">
        <v>1</v>
      </c>
      <c r="AB103" s="3744"/>
      <c r="AC103" s="656"/>
      <c r="AD103" s="3744">
        <f>AB103</f>
        <v>0</v>
      </c>
      <c r="AE103" s="656"/>
      <c r="AF103" s="667"/>
      <c r="AG103" s="668"/>
      <c r="AH103" s="668"/>
      <c r="AI103" s="667"/>
      <c r="AJ103" s="668"/>
      <c r="AK103" s="668"/>
      <c r="AL103" s="3737"/>
    </row>
    <row customHeight="1" ht="11.25">
      <c r="E104" s="3450"/>
      <c r="F104" s="639"/>
      <c r="G104" s="640"/>
      <c r="H104" s="217"/>
      <c r="I104" s="663"/>
      <c r="J104" s="356"/>
      <c r="K104" s="413"/>
      <c r="L104" s="210"/>
      <c r="M104" s="204"/>
      <c r="N104" s="643"/>
      <c r="O104" s="3745"/>
      <c r="P104" s="659"/>
      <c r="Q104" s="421"/>
      <c r="R104" s="421"/>
      <c r="S104" s="654"/>
      <c r="T104" s="421"/>
      <c r="U104" s="421"/>
      <c r="V104" s="421"/>
      <c r="W104" s="421"/>
      <c r="X104" s="421"/>
      <c r="Y104" s="421"/>
      <c r="Z104" s="646"/>
      <c r="AA104" s="647"/>
      <c r="AB104" s="167" t="s">
        <v>1949</v>
      </c>
      <c r="AC104" s="648"/>
      <c r="AD104" s="648"/>
      <c r="AE104" s="670"/>
      <c r="AF104" s="667"/>
      <c r="AG104" s="668"/>
      <c r="AH104" s="668"/>
      <c r="AI104" s="667"/>
      <c r="AJ104" s="668"/>
      <c r="AK104" s="668"/>
      <c r="AL104" s="3737"/>
    </row>
    <row customHeight="1" ht="11.25">
      <c r="E105" s="3450"/>
      <c r="F105" s="639"/>
      <c r="G105" s="640"/>
      <c r="H105" s="217"/>
      <c r="I105" s="663"/>
      <c r="J105" s="356"/>
      <c r="K105" s="413"/>
      <c r="L105" s="210"/>
      <c r="M105" s="204"/>
      <c r="N105" s="646"/>
      <c r="O105" s="647"/>
      <c r="P105" s="167" t="s">
        <v>1952</v>
      </c>
      <c r="Q105" s="647"/>
      <c r="R105" s="647"/>
      <c r="S105" s="647"/>
      <c r="T105" s="647"/>
      <c r="U105" s="647"/>
      <c r="V105" s="647"/>
      <c r="W105" s="647"/>
      <c r="X105" s="647"/>
      <c r="Y105" s="647"/>
      <c r="Z105" s="647"/>
      <c r="AA105" s="647"/>
      <c r="AB105" s="647"/>
      <c r="AC105" s="647"/>
      <c r="AD105" s="647"/>
      <c r="AE105" s="671"/>
      <c r="AF105" s="667"/>
      <c r="AG105" s="668"/>
      <c r="AH105" s="668"/>
      <c r="AI105" s="667"/>
      <c r="AJ105" s="668"/>
      <c r="AK105" s="668"/>
      <c r="AL105" s="3737"/>
    </row>
    <row r="107" customHeight="1" ht="11.25">
      <c r="A107" s="550" t="s">
        <v>1953</v>
      </c>
    </row>
    <row customHeight="1" ht="17.25"/>
    <row customHeight="1" ht="21">
      <c r="E109" s="672" t="s">
        <v>22</v>
      </c>
      <c r="F109" s="3746">
        <f>INDEX(IP_MAIN_LIST_NAME_IP,MATCH(A109,IP_MAIN_LIST_IP_ID,0))&amp;" ("&amp;INDEX(IP_MAIN_START_DATE,MATCH(A109,IP_MAIN_LIST_IP_ID,0))&amp;"-"&amp;INDEX(IP_MAIN_END_DATE,MATCH(A109,IP_MAIN_LIST_IP_ID,0))&amp;")"</f>
      </c>
      <c r="G109" s="674"/>
      <c r="H109" s="3747"/>
      <c r="I109" s="3747"/>
      <c r="J109" s="3747"/>
      <c r="K109" s="3747"/>
      <c r="L109" s="3747"/>
      <c r="M109" s="3747"/>
      <c r="N109" s="3747"/>
      <c r="O109" s="674"/>
      <c r="P109" s="674"/>
      <c r="Q109" s="674"/>
      <c r="R109" s="674"/>
      <c r="S109" s="674"/>
      <c r="T109" s="674"/>
      <c r="U109" s="3748"/>
      <c r="V109" s="3748"/>
      <c r="W109" s="3748"/>
      <c r="X109" s="3748"/>
      <c r="Y109" s="3748"/>
      <c r="Z109" s="3748"/>
      <c r="AA109" s="3748"/>
      <c r="AB109" s="674"/>
      <c r="AC109" s="3747"/>
      <c r="AD109" s="3747"/>
      <c r="AE109" s="3747"/>
      <c r="AF109" s="3747"/>
      <c r="AG109" s="3747"/>
      <c r="AH109" s="3747"/>
      <c r="AI109" s="3747"/>
      <c r="AJ109" s="3747"/>
      <c r="AK109" s="3747"/>
      <c r="AL109" s="3747"/>
      <c r="AM109" s="3747"/>
      <c r="AN109" s="3747"/>
      <c r="AO109" s="3747"/>
      <c r="AP109" s="3747"/>
      <c r="AQ109" s="3747"/>
      <c r="AR109" s="3747"/>
      <c r="AS109" s="3747"/>
      <c r="AT109" s="3747"/>
      <c r="AU109" s="3747"/>
      <c r="AV109" s="3747"/>
      <c r="AW109" s="3747"/>
      <c r="AX109" s="3747"/>
      <c r="AY109" s="3747"/>
      <c r="AZ109" s="3747"/>
      <c r="BA109" s="3747"/>
      <c r="BB109" s="3747"/>
      <c r="BC109" s="3747"/>
      <c r="BD109" s="3747"/>
      <c r="BE109" s="3747"/>
      <c r="BF109" s="3747"/>
      <c r="BG109" s="3747"/>
      <c r="BH109" s="3747"/>
      <c r="BI109" s="3747"/>
      <c r="BJ109" s="3747"/>
      <c r="BK109" s="3747"/>
      <c r="BL109" s="3747"/>
      <c r="BM109" s="3747"/>
      <c r="BN109" s="3747"/>
      <c r="BO109" s="3747"/>
      <c r="BP109" s="3747"/>
      <c r="BQ109" s="3747"/>
      <c r="BR109" s="3747"/>
      <c r="BS109" s="3747"/>
      <c r="BT109" s="3747"/>
      <c r="BU109" s="3747"/>
      <c r="BV109" s="3747"/>
      <c r="BW109" s="3747"/>
      <c r="BX109" s="3747"/>
      <c r="BY109" s="3747"/>
      <c r="BZ109" s="3747"/>
      <c r="CA109" s="3747"/>
      <c r="CB109" s="3747"/>
      <c r="CC109" s="3747"/>
      <c r="CD109" s="3747"/>
      <c r="CE109" s="3747"/>
      <c r="CF109" s="3747"/>
      <c r="CG109" s="3747"/>
      <c r="CH109" s="3747"/>
      <c r="CI109" s="3747"/>
      <c r="CJ109" s="3747"/>
      <c r="CK109" s="3747"/>
      <c r="CL109" s="3749"/>
      <c r="CM109" s="3749"/>
      <c r="CN109" s="3749"/>
      <c r="CO109" s="3749"/>
      <c r="CP109" s="3749"/>
      <c r="CQ109" s="3749"/>
      <c r="CR109" s="3749"/>
      <c r="CS109" s="3749"/>
      <c r="CT109" s="3749"/>
      <c r="CU109" s="3749"/>
      <c r="CV109" s="3749"/>
      <c r="CW109" s="3749"/>
      <c r="CX109" s="3749"/>
      <c r="CY109" s="3749"/>
      <c r="CZ109" s="3749"/>
      <c r="DA109" s="3749"/>
      <c r="DB109" s="3749"/>
      <c r="DC109" s="3749"/>
      <c r="DD109" s="3749"/>
      <c r="DE109" s="3749"/>
      <c r="DF109" s="3749"/>
      <c r="DG109" s="3749"/>
      <c r="DH109" s="3749"/>
      <c r="DI109" s="3749"/>
      <c r="DJ109" s="3749"/>
      <c r="DK109" s="3749"/>
      <c r="DL109" s="3749"/>
      <c r="DM109" s="3749"/>
      <c r="DN109" s="3749"/>
      <c r="DO109" s="3749"/>
      <c r="DP109" s="3749"/>
      <c r="DQ109" s="3749"/>
      <c r="DR109" s="3749"/>
      <c r="DS109" s="3749"/>
      <c r="DT109" s="3749"/>
      <c r="DU109" s="3749"/>
      <c r="DV109" s="3749"/>
      <c r="DW109" s="3749"/>
      <c r="DX109" s="3749"/>
      <c r="DY109" s="3749"/>
      <c r="DZ109" s="3749"/>
      <c r="EA109" s="3749"/>
      <c r="EB109" s="3749"/>
      <c r="EC109" s="3749"/>
      <c r="ED109" s="3749"/>
      <c r="EE109" s="3749"/>
      <c r="EF109" s="3749"/>
      <c r="EG109" s="3749"/>
      <c r="EH109" s="3749"/>
      <c r="EI109" s="3749"/>
      <c r="EJ109" s="3749"/>
      <c r="EK109" s="3749"/>
      <c r="EL109" s="3749"/>
      <c r="EM109" s="3749"/>
      <c r="EN109" s="3749"/>
      <c r="EO109" s="3749"/>
      <c r="EP109" s="3749"/>
      <c r="EQ109" s="3749"/>
      <c r="ER109" s="3749"/>
      <c r="ES109" s="3749"/>
      <c r="ET109" s="3749"/>
      <c r="EU109" s="3749"/>
      <c r="EV109" s="3749"/>
      <c r="EW109" s="3749"/>
      <c r="EX109" s="3749"/>
      <c r="EY109" s="3749"/>
      <c r="EZ109" s="3749"/>
      <c r="FA109" s="3749"/>
      <c r="FB109" s="3749"/>
      <c r="FC109" s="3749"/>
      <c r="FD109" s="3749"/>
      <c r="FE109" s="3749"/>
      <c r="FF109" s="3749"/>
      <c r="FG109" s="3749"/>
      <c r="FH109" s="3749"/>
      <c r="FI109" s="3749"/>
      <c r="FJ109" s="3749"/>
      <c r="FK109" s="3749"/>
      <c r="FL109" s="3749"/>
      <c r="FM109" s="3749"/>
      <c r="FN109" s="3749"/>
      <c r="FO109" s="3749"/>
      <c r="FP109" s="3749"/>
      <c r="FQ109" s="3749"/>
      <c r="FR109" s="3749"/>
      <c r="FS109" s="3749"/>
      <c r="FT109" s="3749"/>
      <c r="FU109" s="3749"/>
      <c r="FV109" s="3750"/>
      <c r="FW109" s="3751"/>
    </row>
    <row customHeight="1" ht="24.75">
      <c r="F110" s="3707">
        <v>1</v>
      </c>
      <c r="G110" s="3463"/>
      <c r="H110" s="3460"/>
      <c r="I110" s="680"/>
      <c r="J110" s="3752"/>
      <c r="K110" s="3752"/>
      <c r="L110" s="3752"/>
      <c r="M110" s="3752"/>
      <c r="N110" s="3752"/>
      <c r="O110" s="682"/>
      <c r="P110" s="682"/>
      <c r="Q110" s="682"/>
      <c r="R110" s="682"/>
      <c r="S110" s="682"/>
      <c r="T110" s="682"/>
      <c r="U110" s="682"/>
      <c r="V110" s="682"/>
      <c r="W110" s="682"/>
      <c r="X110" s="682"/>
      <c r="Y110" s="682"/>
      <c r="Z110" s="682"/>
      <c r="AA110" s="682"/>
      <c r="AB110" s="682"/>
      <c r="AC110" s="3752"/>
      <c r="AD110" s="3752"/>
      <c r="AE110" s="3752"/>
      <c r="AF110" s="3752"/>
      <c r="AG110" s="3752"/>
      <c r="AH110" s="3752"/>
      <c r="AI110" s="3752"/>
      <c r="AJ110" s="3752"/>
      <c r="AK110" s="3752"/>
      <c r="AL110" s="3752"/>
      <c r="AM110" s="3752"/>
      <c r="AN110" s="3752"/>
      <c r="AO110" s="3752"/>
      <c r="AP110" s="3752"/>
      <c r="AQ110" s="3752"/>
      <c r="AR110" s="3752"/>
      <c r="AS110" s="3752"/>
      <c r="AT110" s="3752"/>
      <c r="AU110" s="3752"/>
      <c r="AV110" s="3752"/>
      <c r="AW110" s="3752"/>
      <c r="AX110" s="3752"/>
      <c r="AY110" s="3752"/>
      <c r="AZ110" s="3752"/>
      <c r="BA110" s="3752"/>
      <c r="BB110" s="3752"/>
      <c r="BC110" s="3752"/>
      <c r="BD110" s="3752"/>
      <c r="BE110" s="3752"/>
      <c r="BF110" s="3752"/>
      <c r="BG110" s="3752"/>
      <c r="BH110" s="3752"/>
      <c r="BI110" s="3752"/>
      <c r="BJ110" s="3752"/>
      <c r="BK110" s="3752"/>
      <c r="BL110" s="3752"/>
      <c r="BM110" s="3752"/>
      <c r="BN110" s="3752"/>
      <c r="BO110" s="3752"/>
      <c r="BP110" s="3752"/>
      <c r="BQ110" s="3752"/>
      <c r="BR110" s="3752"/>
      <c r="BS110" s="3752"/>
      <c r="BT110" s="682"/>
      <c r="BU110" s="682"/>
      <c r="BV110" s="682"/>
      <c r="BW110" s="682"/>
      <c r="BX110" s="682"/>
      <c r="BY110" s="682"/>
      <c r="BZ110" s="682"/>
      <c r="CA110" s="682"/>
      <c r="CB110" s="682"/>
      <c r="CC110" s="682"/>
      <c r="CD110" s="682"/>
      <c r="CE110" s="682"/>
      <c r="CF110" s="682"/>
      <c r="CG110" s="682"/>
      <c r="CH110" s="682"/>
      <c r="CI110" s="682"/>
      <c r="CJ110" s="682"/>
      <c r="CK110" s="682"/>
      <c r="CL110" s="3752"/>
      <c r="CM110" s="3752"/>
      <c r="CN110" s="3752"/>
      <c r="CO110" s="3752"/>
      <c r="CP110" s="3752"/>
      <c r="CQ110" s="3752"/>
      <c r="CR110" s="3752"/>
      <c r="CS110" s="3752"/>
      <c r="CT110" s="3752"/>
      <c r="CU110" s="3752"/>
      <c r="CV110" s="3752"/>
      <c r="CW110" s="3752"/>
      <c r="CX110" s="3752"/>
      <c r="CY110" s="682"/>
      <c r="CZ110" s="682"/>
      <c r="DA110" s="682"/>
      <c r="DB110" s="682"/>
      <c r="DC110" s="682"/>
      <c r="DD110" s="682"/>
      <c r="DE110" s="682"/>
      <c r="DF110" s="682"/>
      <c r="DG110" s="682"/>
      <c r="DH110" s="682"/>
      <c r="DI110" s="682"/>
      <c r="DJ110" s="682"/>
      <c r="DK110" s="3752"/>
      <c r="DL110" s="3752"/>
      <c r="DM110" s="3752"/>
      <c r="DN110" s="3752"/>
      <c r="DO110" s="3752"/>
      <c r="DP110" s="3752"/>
      <c r="DQ110" s="3752"/>
      <c r="DR110" s="3752"/>
      <c r="DS110" s="3752"/>
      <c r="DT110" s="3752"/>
      <c r="DU110" s="3752"/>
      <c r="DV110" s="3752"/>
      <c r="DW110" s="3752"/>
      <c r="DX110" s="3752"/>
      <c r="DY110" s="3752"/>
      <c r="DZ110" s="3752"/>
      <c r="EA110" s="3752"/>
      <c r="EB110" s="3752"/>
      <c r="EC110" s="3752"/>
      <c r="ED110" s="3752"/>
      <c r="EE110" s="3752"/>
      <c r="EF110" s="3752"/>
      <c r="EG110" s="3752"/>
      <c r="EH110" s="3752"/>
      <c r="EI110" s="3752"/>
      <c r="EJ110" s="3752"/>
      <c r="EK110" s="3752"/>
      <c r="EL110" s="3752"/>
      <c r="EM110" s="3752"/>
      <c r="EN110" s="3752"/>
      <c r="EO110" s="3752"/>
      <c r="EP110" s="3752"/>
      <c r="EQ110" s="3752"/>
      <c r="ER110" s="3752"/>
      <c r="ES110" s="3752"/>
      <c r="ET110" s="3752"/>
      <c r="EU110" s="3752"/>
      <c r="EV110" s="3752"/>
      <c r="EW110" s="3752"/>
      <c r="EX110" s="3752"/>
      <c r="EY110" s="3752"/>
      <c r="EZ110" s="3752"/>
      <c r="FA110" s="3752"/>
      <c r="FB110" s="3752"/>
      <c r="FC110" s="3752"/>
      <c r="FD110" s="3752"/>
      <c r="FE110" s="3752"/>
      <c r="FF110" s="3752"/>
      <c r="FG110" s="3752"/>
      <c r="FH110" s="3752"/>
      <c r="FI110" s="3752"/>
      <c r="FJ110" s="3752"/>
      <c r="FK110" s="3752"/>
      <c r="FL110" s="3752"/>
      <c r="FM110" s="3752"/>
      <c r="FN110" s="3752"/>
      <c r="FO110" s="3752"/>
      <c r="FP110" s="3752"/>
      <c r="FQ110" s="3752"/>
      <c r="FR110" s="3752"/>
      <c r="FS110" s="3752"/>
      <c r="FT110" s="3752"/>
      <c r="FU110" s="3752"/>
      <c r="FV110" s="3752"/>
      <c r="FW110" s="3752"/>
    </row>
    <row customHeight="1" ht="12">
      <c r="F111" s="683"/>
      <c r="G111" s="636" t="s">
        <v>1954</v>
      </c>
      <c r="H111" s="636"/>
      <c r="I111" s="636"/>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636"/>
      <c r="AZ111" s="636"/>
      <c r="BA111" s="636"/>
      <c r="BB111" s="636"/>
      <c r="BC111" s="636"/>
      <c r="BD111" s="636"/>
      <c r="BE111" s="636"/>
      <c r="BF111" s="636"/>
      <c r="BG111" s="636"/>
      <c r="BH111" s="636"/>
      <c r="BI111" s="636"/>
      <c r="BJ111" s="636"/>
      <c r="BK111" s="636"/>
      <c r="BL111" s="636"/>
      <c r="BM111" s="636"/>
      <c r="BN111" s="636"/>
      <c r="BO111" s="636"/>
      <c r="BP111" s="636"/>
      <c r="BQ111" s="636"/>
      <c r="BR111" s="636"/>
      <c r="BS111" s="636"/>
      <c r="BT111" s="636"/>
      <c r="BU111" s="636"/>
      <c r="BV111" s="636"/>
      <c r="BW111" s="636"/>
      <c r="BX111" s="636"/>
      <c r="BY111" s="636"/>
      <c r="BZ111" s="636"/>
      <c r="CA111" s="636"/>
      <c r="CB111" s="636"/>
      <c r="CC111" s="636"/>
      <c r="CD111" s="636"/>
      <c r="CE111" s="636"/>
      <c r="CF111" s="636"/>
      <c r="CG111" s="636"/>
      <c r="CH111" s="636"/>
      <c r="CI111" s="636"/>
      <c r="CJ111" s="636"/>
      <c r="CK111" s="636"/>
      <c r="CL111" s="636"/>
      <c r="CM111" s="636"/>
      <c r="CN111" s="636"/>
      <c r="CO111" s="636"/>
      <c r="CP111" s="636"/>
      <c r="CQ111" s="636"/>
      <c r="CR111" s="636"/>
      <c r="CS111" s="636"/>
      <c r="CT111" s="636"/>
      <c r="CU111" s="636"/>
      <c r="CV111" s="636"/>
      <c r="CW111" s="636"/>
      <c r="CX111" s="636"/>
      <c r="CY111" s="636"/>
      <c r="CZ111" s="636"/>
      <c r="DA111" s="636"/>
      <c r="DB111" s="636"/>
      <c r="DC111" s="636"/>
      <c r="DD111" s="636"/>
      <c r="DE111" s="636"/>
      <c r="DF111" s="636"/>
      <c r="DG111" s="636"/>
      <c r="DH111" s="636"/>
      <c r="DI111" s="636"/>
      <c r="DJ111" s="636"/>
      <c r="DK111" s="636"/>
      <c r="DL111" s="636"/>
      <c r="DM111" s="636"/>
      <c r="DN111" s="636"/>
      <c r="DO111" s="636"/>
      <c r="DP111" s="636"/>
      <c r="DQ111" s="636"/>
      <c r="DR111" s="636"/>
      <c r="DS111" s="636"/>
      <c r="DT111" s="636"/>
      <c r="DU111" s="636"/>
      <c r="DV111" s="636"/>
      <c r="DW111" s="636"/>
      <c r="DX111" s="636"/>
      <c r="DY111" s="636"/>
      <c r="DZ111" s="636"/>
      <c r="EA111" s="636"/>
      <c r="EB111" s="636"/>
      <c r="EC111" s="636"/>
      <c r="ED111" s="636"/>
      <c r="EE111" s="636"/>
      <c r="EF111" s="636"/>
      <c r="EG111" s="636"/>
      <c r="EH111" s="636"/>
      <c r="EI111" s="636"/>
      <c r="EJ111" s="636"/>
      <c r="EK111" s="636"/>
      <c r="EL111" s="636"/>
      <c r="EM111" s="636"/>
      <c r="EN111" s="636"/>
      <c r="EO111" s="636"/>
      <c r="EP111" s="636"/>
      <c r="EQ111" s="636"/>
      <c r="ER111" s="636"/>
      <c r="ES111" s="636"/>
      <c r="ET111" s="636"/>
      <c r="EU111" s="636"/>
      <c r="EV111" s="636"/>
      <c r="EW111" s="636"/>
      <c r="EX111" s="636"/>
      <c r="EY111" s="636"/>
      <c r="EZ111" s="636"/>
      <c r="FA111" s="636"/>
      <c r="FB111" s="636"/>
      <c r="FC111" s="636"/>
      <c r="FD111" s="636"/>
      <c r="FE111" s="636"/>
      <c r="FF111" s="636"/>
      <c r="FG111" s="636"/>
      <c r="FH111" s="636"/>
      <c r="FI111" s="636"/>
      <c r="FJ111" s="636"/>
      <c r="FK111" s="636"/>
      <c r="FL111" s="636"/>
      <c r="FM111" s="636"/>
      <c r="FN111" s="636"/>
      <c r="FO111" s="636"/>
      <c r="FP111" s="636"/>
      <c r="FQ111" s="636"/>
      <c r="FR111" s="636"/>
      <c r="FS111" s="636"/>
      <c r="FT111" s="636"/>
      <c r="FU111" s="636"/>
      <c r="FV111" s="636"/>
      <c r="FW111" s="684"/>
    </row>
    <row r="113" customHeight="1" ht="11.25">
      <c r="A113" s="550" t="s">
        <v>1955</v>
      </c>
    </row>
    <row r="115" customHeight="1" ht="15" hidden="1">
      <c r="D115" s="211" t="s">
        <v>107</v>
      </c>
      <c r="E115" s="3753" t="s">
        <v>103</v>
      </c>
      <c r="F115" s="3754"/>
      <c r="G115" s="3755"/>
      <c r="H115" s="3442" t="str">
        <f>IF(A115="","",INDEX(DIFFERENTIATION_UNMERGE_VD,MATCH(A115,DIFFERENTIATION_ID_DIFF,0)))</f>
        <v/>
      </c>
      <c r="I115" s="3442"/>
      <c r="J115" s="3442"/>
      <c r="K115" s="3442"/>
      <c r="L115" s="3442"/>
      <c r="M115" s="3442"/>
      <c r="N115" s="3442"/>
      <c r="O115" s="3442"/>
      <c r="P115" s="3442"/>
      <c r="Q115" s="3442"/>
      <c r="R115" s="3442"/>
      <c r="S115" s="3756"/>
      <c r="T115" s="689"/>
      <c r="AE115" s="5774" t="s">
        <v>22</v>
      </c>
      <c r="AG115" s="3757" t="s">
        <v>625</v>
      </c>
      <c r="AH115" s="3758">
        <v>3</v>
      </c>
    </row>
    <row customHeight="1" ht="15" hidden="1">
      <c r="D116" s="692"/>
      <c r="E116" s="3753" t="s">
        <v>579</v>
      </c>
      <c r="F116" s="3754"/>
      <c r="G116" s="3755"/>
      <c r="H116" s="3442" t="str">
        <f>IF(A115="","",INDEX(DIFFERENTIATION_UNMERGE_AREA,MATCH(A115,DIFFERENTIATION_ID_DIFF,0)))</f>
        <v/>
      </c>
      <c r="I116" s="3442"/>
      <c r="J116" s="3442"/>
      <c r="K116" s="3442"/>
      <c r="L116" s="3442"/>
      <c r="M116" s="3442"/>
      <c r="N116" s="3442"/>
      <c r="O116" s="3442"/>
      <c r="P116" s="3442"/>
      <c r="Q116" s="3442"/>
      <c r="R116" s="3442"/>
      <c r="S116" s="3756"/>
      <c r="T116" s="689"/>
    </row>
    <row customHeight="1" ht="15" hidden="1">
      <c r="D117" s="692"/>
      <c r="E117" s="3753" t="s">
        <v>580</v>
      </c>
      <c r="F117" s="3754"/>
      <c r="G117" s="3755"/>
      <c r="H117" s="3442" t="str">
        <f>IF(A115="","",INDEX(DIFFERENTIATION_UNMERGE_SYSTEM,MATCH(A115,DIFFERENTIATION_ID_DIFF,0)))</f>
        <v/>
      </c>
      <c r="I117" s="3442"/>
      <c r="J117" s="3442"/>
      <c r="K117" s="3442"/>
      <c r="L117" s="3442"/>
      <c r="M117" s="3442"/>
      <c r="N117" s="3442"/>
      <c r="O117" s="3442"/>
      <c r="P117" s="3442"/>
      <c r="Q117" s="3442"/>
      <c r="R117" s="3442"/>
      <c r="S117" s="3756"/>
      <c r="T117" s="689"/>
    </row>
    <row customHeight="1" ht="24.75" hidden="1">
      <c r="D118" s="692"/>
      <c r="E118" s="3759" t="s">
        <v>626</v>
      </c>
      <c r="F118" s="3759"/>
      <c r="G118" s="3759"/>
      <c r="H118" s="3759"/>
      <c r="I118" s="3759"/>
      <c r="J118" s="3759"/>
      <c r="K118" s="3759"/>
      <c r="L118" s="3759"/>
      <c r="M118" s="3759"/>
      <c r="N118" s="3759"/>
      <c r="O118" s="3759"/>
      <c r="P118" s="3759"/>
      <c r="Q118" s="694">
        <f>SUMIF(T119:T120,"i",Q119:Q120)</f>
        <v>0</v>
      </c>
      <c r="R118" s="695"/>
      <c r="S118" s="3563" t="s">
        <v>627</v>
      </c>
      <c r="T118" s="689" t="s">
        <v>628</v>
      </c>
      <c r="U118" s="3471">
        <v>1</v>
      </c>
      <c r="V118" s="3471" t="s">
        <v>590</v>
      </c>
    </row>
    <row customHeight="1" ht="11.25" hidden="1">
      <c r="D119" s="692"/>
      <c r="E119" s="3582"/>
      <c r="F119" s="3582">
        <v>0</v>
      </c>
      <c r="G119" s="3582"/>
      <c r="H119" s="3582"/>
      <c r="I119" s="3582"/>
      <c r="J119" s="3582"/>
      <c r="K119" s="3582"/>
      <c r="L119" s="3582"/>
      <c r="M119" s="3582"/>
      <c r="N119" s="3582"/>
      <c r="O119" s="3582"/>
      <c r="P119" s="3582"/>
      <c r="Q119" s="3582"/>
      <c r="R119" s="3582"/>
      <c r="S119" s="3581"/>
      <c r="T119" s="3760"/>
    </row>
    <row customHeight="1" ht="11.25" hidden="1">
      <c r="D120" s="692"/>
      <c r="E120" s="697" t="s">
        <v>22</v>
      </c>
      <c r="F120" s="167" t="s">
        <v>22</v>
      </c>
      <c r="G120" s="167" t="s">
        <v>631</v>
      </c>
      <c r="H120" s="172" t="s">
        <v>22</v>
      </c>
      <c r="I120" s="172"/>
      <c r="J120" s="172"/>
      <c r="K120" s="172"/>
      <c r="L120" s="172"/>
      <c r="M120" s="172"/>
      <c r="N120" s="172"/>
      <c r="O120" s="172"/>
      <c r="P120" s="172"/>
      <c r="Q120" s="172"/>
      <c r="R120" s="220"/>
      <c r="S120" s="3761"/>
      <c r="T120" s="3760"/>
    </row>
    <row customHeight="1" ht="24.75" hidden="1">
      <c r="D121" s="692"/>
      <c r="E121" s="3759" t="s">
        <v>629</v>
      </c>
      <c r="F121" s="3759"/>
      <c r="G121" s="3759"/>
      <c r="H121" s="3759"/>
      <c r="I121" s="3759"/>
      <c r="J121" s="3759"/>
      <c r="K121" s="3759"/>
      <c r="L121" s="3759"/>
      <c r="M121" s="3759"/>
      <c r="N121" s="3759"/>
      <c r="O121" s="3759"/>
      <c r="P121" s="3759"/>
      <c r="Q121" s="694">
        <f>SUMIF(T122:T123,"i",Q122:Q123)</f>
        <v>0</v>
      </c>
      <c r="R121" s="695"/>
      <c r="S121" s="3563" t="s">
        <v>630</v>
      </c>
      <c r="T121" s="689" t="s">
        <v>628</v>
      </c>
      <c r="U121" s="3471">
        <v>1</v>
      </c>
      <c r="V121" s="3471" t="s">
        <v>590</v>
      </c>
    </row>
    <row customHeight="1" ht="11.25" hidden="1">
      <c r="D122" s="692"/>
      <c r="E122" s="3582"/>
      <c r="F122" s="3582">
        <v>0</v>
      </c>
      <c r="G122" s="3582"/>
      <c r="H122" s="3582"/>
      <c r="I122" s="3582"/>
      <c r="J122" s="3582"/>
      <c r="K122" s="3582"/>
      <c r="L122" s="3582"/>
      <c r="M122" s="3582"/>
      <c r="N122" s="3582"/>
      <c r="O122" s="3582"/>
      <c r="P122" s="3582"/>
      <c r="Q122" s="3582"/>
      <c r="R122" s="3582"/>
      <c r="S122" s="3581"/>
      <c r="T122" s="3760"/>
    </row>
    <row customHeight="1" ht="11.25" hidden="1">
      <c r="D123" s="699"/>
      <c r="E123" s="697" t="s">
        <v>22</v>
      </c>
      <c r="F123" s="167" t="s">
        <v>22</v>
      </c>
      <c r="G123" s="167" t="s">
        <v>631</v>
      </c>
      <c r="H123" s="172" t="s">
        <v>22</v>
      </c>
      <c r="I123" s="172"/>
      <c r="J123" s="172"/>
      <c r="K123" s="172"/>
      <c r="L123" s="172"/>
      <c r="M123" s="172"/>
      <c r="N123" s="172"/>
      <c r="O123" s="172"/>
      <c r="P123" s="172"/>
      <c r="Q123" s="172"/>
      <c r="R123" s="220"/>
      <c r="S123" s="3761"/>
      <c r="T123" s="3760"/>
    </row>
    <row r="125" customHeight="1" ht="11.25">
      <c r="A125" s="550" t="s">
        <v>1956</v>
      </c>
    </row>
    <row r="127" customHeight="1" ht="15">
      <c r="D127" s="211" t="s">
        <v>107</v>
      </c>
      <c r="E127" s="3753" t="s">
        <v>103</v>
      </c>
      <c r="F127" s="3754"/>
      <c r="G127" s="3755"/>
      <c r="H127" s="3442" t="str">
        <f>IF(A127="","",INDEX(DIFFERENTIATION_UNMERGE_VD,MATCH(A127,DIFFERENTIATION_ID_DIFF,0)))</f>
        <v/>
      </c>
      <c r="I127" s="3442"/>
      <c r="J127" s="3442"/>
      <c r="K127" s="3442"/>
      <c r="L127" s="3442"/>
      <c r="M127" s="3442"/>
      <c r="N127" s="3442"/>
      <c r="O127" s="3442"/>
      <c r="P127" s="3442"/>
      <c r="Q127" s="3442"/>
      <c r="R127" s="3442"/>
      <c r="S127" s="3756"/>
      <c r="T127" s="689"/>
      <c r="AE127" s="5774" t="s">
        <v>22</v>
      </c>
      <c r="AG127" s="3757" t="s">
        <v>625</v>
      </c>
      <c r="AH127" s="3758">
        <v>3</v>
      </c>
    </row>
    <row customHeight="1" ht="15">
      <c r="D128" s="692"/>
      <c r="E128" s="3753" t="s">
        <v>579</v>
      </c>
      <c r="F128" s="3754"/>
      <c r="G128" s="3755"/>
      <c r="H128" s="3442" t="str">
        <f>IF(A127="","",INDEX(DIFFERENTIATION_UNMERGE_AREA,MATCH(A127,DIFFERENTIATION_ID_DIFF,0)))</f>
        <v/>
      </c>
      <c r="I128" s="3442"/>
      <c r="J128" s="3442"/>
      <c r="K128" s="3442"/>
      <c r="L128" s="3442"/>
      <c r="M128" s="3442"/>
      <c r="N128" s="3442"/>
      <c r="O128" s="3442"/>
      <c r="P128" s="3442"/>
      <c r="Q128" s="3442"/>
      <c r="R128" s="3442"/>
      <c r="S128" s="3756"/>
      <c r="T128" s="689"/>
    </row>
    <row customHeight="1" ht="15">
      <c r="D129" s="692"/>
      <c r="E129" s="3753" t="s">
        <v>580</v>
      </c>
      <c r="F129" s="3754"/>
      <c r="G129" s="3755"/>
      <c r="H129" s="3442" t="str">
        <f>IF(A127="","",INDEX(DIFFERENTIATION_UNMERGE_SYSTEM,MATCH(A127,DIFFERENTIATION_ID_DIFF,0)))</f>
        <v/>
      </c>
      <c r="I129" s="3442"/>
      <c r="J129" s="3442"/>
      <c r="K129" s="3442"/>
      <c r="L129" s="3442"/>
      <c r="M129" s="3442"/>
      <c r="N129" s="3442"/>
      <c r="O129" s="3442"/>
      <c r="P129" s="3442"/>
      <c r="Q129" s="3442"/>
      <c r="R129" s="3442"/>
      <c r="S129" s="3756"/>
      <c r="T129" s="689"/>
    </row>
    <row customHeight="1" ht="24.75">
      <c r="D130" s="692"/>
      <c r="E130" s="3759" t="s">
        <v>626</v>
      </c>
      <c r="F130" s="3759"/>
      <c r="G130" s="3759"/>
      <c r="H130" s="3759"/>
      <c r="I130" s="3759"/>
      <c r="J130" s="3759"/>
      <c r="K130" s="3759"/>
      <c r="L130" s="3759"/>
      <c r="M130" s="3759"/>
      <c r="N130" s="3759"/>
      <c r="O130" s="3759"/>
      <c r="P130" s="3759"/>
      <c r="Q130" s="694">
        <f>SUMIF(T131:T132,"i",Q131:Q132)</f>
        <v>0</v>
      </c>
      <c r="R130" s="695"/>
      <c r="S130" s="3563" t="s">
        <v>627</v>
      </c>
      <c r="T130" s="689" t="s">
        <v>628</v>
      </c>
      <c r="U130" s="3471">
        <v>1</v>
      </c>
      <c r="V130" s="3471" t="s">
        <v>590</v>
      </c>
    </row>
    <row customHeight="1" ht="11.25" hidden="1">
      <c r="D131" s="692"/>
      <c r="E131" s="3582"/>
      <c r="F131" s="3582">
        <v>0</v>
      </c>
      <c r="G131" s="3582"/>
      <c r="H131" s="3582"/>
      <c r="I131" s="3582"/>
      <c r="J131" s="3582"/>
      <c r="K131" s="3582"/>
      <c r="L131" s="3582"/>
      <c r="M131" s="3582"/>
      <c r="N131" s="3582"/>
      <c r="O131" s="3582"/>
      <c r="P131" s="3582"/>
      <c r="Q131" s="3582"/>
      <c r="R131" s="3582"/>
      <c r="S131" s="3581"/>
      <c r="T131" s="3760"/>
    </row>
    <row customHeight="1" ht="11.25">
      <c r="D132" s="692"/>
      <c r="E132" s="697" t="s">
        <v>22</v>
      </c>
      <c r="F132" s="167" t="s">
        <v>22</v>
      </c>
      <c r="G132" s="167" t="s">
        <v>631</v>
      </c>
      <c r="H132" s="172" t="s">
        <v>22</v>
      </c>
      <c r="I132" s="172"/>
      <c r="J132" s="172"/>
      <c r="K132" s="172"/>
      <c r="L132" s="172"/>
      <c r="M132" s="172"/>
      <c r="N132" s="172"/>
      <c r="O132" s="172"/>
      <c r="P132" s="172"/>
      <c r="Q132" s="172"/>
      <c r="R132" s="220"/>
      <c r="S132" s="3761"/>
      <c r="T132" s="3760"/>
    </row>
    <row customHeight="1" ht="5.25" hidden="1">
      <c r="D133" s="692"/>
      <c r="E133" s="3762"/>
      <c r="F133" s="3762"/>
      <c r="G133" s="3762"/>
      <c r="H133" s="3762"/>
      <c r="I133" s="3762"/>
      <c r="J133" s="3762"/>
      <c r="K133" s="3762"/>
      <c r="L133" s="3762"/>
      <c r="M133" s="3762"/>
      <c r="N133" s="3762"/>
      <c r="O133" s="3762"/>
      <c r="P133" s="3762"/>
      <c r="Q133" s="701"/>
      <c r="R133" s="702"/>
      <c r="S133" s="3582"/>
      <c r="T133" s="689" t="s">
        <v>628</v>
      </c>
      <c r="U133" s="3471">
        <v>1</v>
      </c>
      <c r="V133" s="3471" t="s">
        <v>590</v>
      </c>
    </row>
    <row customHeight="1" ht="5.25" hidden="1">
      <c r="D134" s="692"/>
      <c r="E134" s="3582"/>
      <c r="F134" s="3582"/>
      <c r="G134" s="3582"/>
      <c r="H134" s="3582"/>
      <c r="I134" s="3582"/>
      <c r="J134" s="3582"/>
      <c r="K134" s="3582"/>
      <c r="L134" s="3582"/>
      <c r="M134" s="3582"/>
      <c r="N134" s="3582"/>
      <c r="O134" s="3582"/>
      <c r="P134" s="3582"/>
      <c r="Q134" s="3582"/>
      <c r="R134" s="3582"/>
      <c r="S134" s="3581"/>
      <c r="T134" s="3760"/>
    </row>
    <row customHeight="1" ht="5.25" hidden="1">
      <c r="D135" s="699"/>
      <c r="E135" s="703"/>
      <c r="F135" s="704"/>
      <c r="G135" s="704"/>
      <c r="H135" s="705"/>
      <c r="I135" s="705"/>
      <c r="J135" s="705"/>
      <c r="K135" s="705"/>
      <c r="L135" s="705"/>
      <c r="M135" s="705"/>
      <c r="N135" s="705"/>
      <c r="O135" s="705"/>
      <c r="P135" s="705"/>
      <c r="Q135" s="705"/>
      <c r="R135" s="706"/>
      <c r="S135" s="3763"/>
      <c r="T135" s="3760"/>
    </row>
    <row customHeight="1" ht="17.25">
      <c r="D136" s="708"/>
    </row>
    <row customHeight="1" ht="11.25">
      <c r="A137" s="550" t="s">
        <v>1957</v>
      </c>
    </row>
    <row r="139" customHeight="1" ht="45">
      <c r="E139" s="709"/>
      <c r="F139" s="204" t="s">
        <v>107</v>
      </c>
      <c r="G139" s="710" t="s">
        <v>22</v>
      </c>
      <c r="H139" s="3764"/>
      <c r="I139" s="712" t="s">
        <v>107</v>
      </c>
      <c r="J139" s="3765" t="s">
        <v>1958</v>
      </c>
      <c r="K139" s="240" t="s">
        <v>561</v>
      </c>
      <c r="L139" s="3629" t="s">
        <v>561</v>
      </c>
      <c r="M139" s="3525"/>
      <c r="N139" s="240" t="s">
        <v>561</v>
      </c>
      <c r="O139" s="240" t="s">
        <v>561</v>
      </c>
      <c r="P139" s="240" t="s">
        <v>561</v>
      </c>
      <c r="Q139" s="714">
        <f>SUM(Q140:Q142)</f>
        <v>0</v>
      </c>
      <c r="R139" s="714">
        <f>IF(R136=0,0,(Q136/R136)*100)</f>
        <v>0</v>
      </c>
      <c r="S139" s="3563"/>
      <c r="T139" s="689" t="s">
        <v>628</v>
      </c>
    </row>
    <row customHeight="1" ht="11.25">
      <c r="E140" s="596"/>
      <c r="F140" s="204"/>
      <c r="G140" s="710"/>
      <c r="H140" s="3480"/>
      <c r="I140" s="217" t="s">
        <v>1045</v>
      </c>
      <c r="J140" s="3766"/>
      <c r="K140" s="716"/>
      <c r="L140" s="3767"/>
      <c r="M140" s="718" t="s">
        <v>107</v>
      </c>
      <c r="N140" s="326"/>
      <c r="O140" s="398"/>
      <c r="P140" s="573"/>
      <c r="Q140" s="398"/>
      <c r="R140" s="719">
        <v>0</v>
      </c>
      <c r="S140" s="3563"/>
      <c r="T140" s="689"/>
    </row>
    <row customHeight="1" ht="11.25">
      <c r="E141" s="596"/>
      <c r="F141" s="204"/>
      <c r="G141" s="710"/>
      <c r="H141" s="3480"/>
      <c r="I141" s="217"/>
      <c r="J141" s="3766"/>
      <c r="K141" s="326"/>
      <c r="L141" s="720"/>
      <c r="M141" s="721"/>
      <c r="N141" s="172" t="s">
        <v>1959</v>
      </c>
      <c r="O141" s="172"/>
      <c r="P141" s="172"/>
      <c r="Q141" s="172"/>
      <c r="R141" s="220"/>
      <c r="S141" s="3563"/>
      <c r="T141" s="689"/>
    </row>
    <row customHeight="1" ht="11.25">
      <c r="E142" s="722"/>
      <c r="F142" s="204"/>
      <c r="G142" s="107"/>
      <c r="H142" s="720" t="s">
        <v>22</v>
      </c>
      <c r="I142" s="721"/>
      <c r="J142" s="172" t="s">
        <v>1960</v>
      </c>
      <c r="K142" s="172"/>
      <c r="L142" s="172"/>
      <c r="M142" s="172"/>
      <c r="N142" s="172"/>
      <c r="O142" s="172"/>
      <c r="P142" s="172"/>
      <c r="Q142" s="172"/>
      <c r="R142" s="220"/>
      <c r="S142" s="3563"/>
      <c r="T142" s="689"/>
    </row>
    <row r="147" customHeight="1" ht="11.25">
      <c r="E147" s="640"/>
      <c r="F147" s="640"/>
      <c r="G147" s="640"/>
      <c r="H147" s="3480"/>
      <c r="I147" s="217" t="s">
        <v>1045</v>
      </c>
      <c r="J147" s="3766"/>
      <c r="K147" s="716"/>
      <c r="L147" s="3767"/>
      <c r="M147" s="718" t="s">
        <v>107</v>
      </c>
      <c r="N147" s="326"/>
      <c r="O147" s="398"/>
      <c r="P147" s="573"/>
      <c r="Q147" s="398"/>
      <c r="R147" s="719">
        <v>0</v>
      </c>
      <c r="T147" s="689"/>
    </row>
    <row customHeight="1" ht="11.25">
      <c r="E148" s="640"/>
      <c r="F148" s="640"/>
      <c r="G148" s="640"/>
      <c r="H148" s="3480"/>
      <c r="I148" s="217"/>
      <c r="J148" s="3766"/>
      <c r="K148" s="326"/>
      <c r="L148" s="720"/>
      <c r="M148" s="721"/>
      <c r="N148" s="172" t="s">
        <v>1959</v>
      </c>
      <c r="O148" s="172"/>
      <c r="P148" s="172"/>
      <c r="Q148" s="172"/>
      <c r="R148" s="220"/>
      <c r="T148" s="689"/>
    </row>
    <row r="150" customHeight="1" ht="11.25">
      <c r="E150" s="723"/>
      <c r="H150" s="724"/>
      <c r="I150" s="640"/>
      <c r="J150" s="642"/>
      <c r="K150" s="642"/>
      <c r="L150" s="3767"/>
      <c r="M150" s="718" t="s">
        <v>107</v>
      </c>
      <c r="N150" s="326"/>
      <c r="O150" s="398"/>
      <c r="P150" s="573"/>
      <c r="Q150" s="398"/>
      <c r="R150" s="719">
        <v>0</v>
      </c>
      <c r="T150" s="689"/>
    </row>
    <row r="152" customHeight="1" ht="17.25">
      <c r="A152" s="550" t="s">
        <v>1961</v>
      </c>
    </row>
    <row customHeight="1" ht="17.25"/>
    <row customHeight="1" ht="17.25">
      <c r="D154" s="3527"/>
      <c r="E154" s="3529"/>
      <c r="F154" s="3530"/>
      <c r="G154" s="3768"/>
      <c r="H154" s="3527"/>
      <c r="I154" s="3527">
        <v>1</v>
      </c>
      <c r="J154" s="355"/>
      <c r="K154" s="289" t="s">
        <v>61</v>
      </c>
      <c r="L154" s="204"/>
      <c r="M154" s="204" t="s">
        <v>107</v>
      </c>
      <c r="N154" s="3769" t="str">
        <f>IF(Z154="","",INDEX(TERRITORY_MR_LIST,MATCH(Z154,TERRITORY_LIST_ID,0)))</f>
        <v/>
      </c>
      <c r="O154" s="289" t="s">
        <v>61</v>
      </c>
      <c r="P154" s="204"/>
      <c r="Q154" s="204" t="s">
        <v>107</v>
      </c>
      <c r="R154" s="326" t="s">
        <v>22</v>
      </c>
      <c r="S154" s="210" t="s">
        <v>61</v>
      </c>
      <c r="T154" s="204"/>
      <c r="U154" s="204" t="s">
        <v>107</v>
      </c>
      <c r="V154" s="326" t="s">
        <v>22</v>
      </c>
      <c r="W154" s="355"/>
    </row>
    <row customHeight="1" ht="17.25">
      <c r="D155" s="3527"/>
      <c r="E155" s="3529"/>
      <c r="F155" s="3535"/>
      <c r="G155" s="3768"/>
      <c r="H155" s="3527"/>
      <c r="I155" s="3527"/>
      <c r="J155" s="355"/>
      <c r="K155" s="295"/>
      <c r="L155" s="204"/>
      <c r="M155" s="204"/>
      <c r="N155" s="3769"/>
      <c r="O155" s="295"/>
      <c r="P155" s="204"/>
      <c r="Q155" s="204"/>
      <c r="R155" s="326"/>
      <c r="S155" s="210"/>
      <c r="T155" s="3770"/>
      <c r="U155" s="3771"/>
      <c r="V155" s="3771" t="s">
        <v>429</v>
      </c>
      <c r="W155" s="3772"/>
    </row>
    <row customHeight="1" ht="17.25">
      <c r="D156" s="215"/>
      <c r="E156" s="256"/>
      <c r="F156" s="3535"/>
      <c r="G156" s="730"/>
      <c r="H156" s="215"/>
      <c r="I156" s="215"/>
      <c r="J156" s="731"/>
      <c r="K156" s="295"/>
      <c r="L156" s="215"/>
      <c r="M156" s="215"/>
      <c r="N156" s="732"/>
      <c r="O156" s="206"/>
      <c r="P156" s="3770"/>
      <c r="Q156" s="3771"/>
      <c r="R156" s="3771" t="s">
        <v>430</v>
      </c>
      <c r="S156" s="3773"/>
      <c r="T156" s="3773"/>
      <c r="U156" s="3773"/>
      <c r="V156" s="3773"/>
      <c r="W156" s="3772"/>
    </row>
    <row customHeight="1" ht="17.25">
      <c r="D157" s="215"/>
      <c r="E157" s="256"/>
      <c r="F157" s="3535"/>
      <c r="G157" s="730"/>
      <c r="H157" s="215"/>
      <c r="I157" s="215"/>
      <c r="J157" s="731"/>
      <c r="K157" s="206"/>
      <c r="L157" s="3770"/>
      <c r="M157" s="3771"/>
      <c r="N157" s="3771" t="s">
        <v>431</v>
      </c>
      <c r="O157" s="3771"/>
      <c r="P157" s="3771"/>
      <c r="Q157" s="3771"/>
      <c r="R157" s="3771"/>
      <c r="S157" s="3773"/>
      <c r="T157" s="3773"/>
      <c r="U157" s="3773"/>
      <c r="V157" s="3773"/>
      <c r="W157" s="3772"/>
    </row>
    <row customHeight="1" ht="17.25">
      <c r="D158" s="215"/>
      <c r="E158" s="256"/>
      <c r="F158" s="3538"/>
      <c r="G158" s="730"/>
      <c r="H158" s="3770"/>
      <c r="I158" s="3771"/>
      <c r="J158" s="3771" t="s">
        <v>463</v>
      </c>
      <c r="K158" s="3771"/>
      <c r="L158" s="3771"/>
      <c r="M158" s="3771"/>
      <c r="N158" s="3771"/>
      <c r="O158" s="3771"/>
      <c r="P158" s="3771"/>
      <c r="Q158" s="3771"/>
      <c r="R158" s="3771"/>
      <c r="S158" s="3773"/>
      <c r="T158" s="3773"/>
      <c r="U158" s="3773"/>
      <c r="V158" s="3773"/>
      <c r="W158" s="3772"/>
    </row>
    <row customHeight="1" ht="17.25"/>
    <row customHeight="1" ht="17.25">
      <c r="D160" s="640"/>
      <c r="E160" s="734"/>
      <c r="F160" s="3535"/>
      <c r="G160" s="735"/>
      <c r="H160" s="3527"/>
      <c r="I160" s="3527">
        <v>1</v>
      </c>
      <c r="J160" s="355"/>
      <c r="K160" s="289" t="s">
        <v>61</v>
      </c>
      <c r="L160" s="204"/>
      <c r="M160" s="204" t="s">
        <v>107</v>
      </c>
      <c r="N160" s="3769" t="str">
        <f>IF(Z160="","",INDEX(TERRITORY_MR_LIST,MATCH(Z160,TERRITORY_LIST_ID,0)))</f>
        <v/>
      </c>
      <c r="O160" s="289" t="s">
        <v>61</v>
      </c>
      <c r="P160" s="204"/>
      <c r="Q160" s="204" t="s">
        <v>107</v>
      </c>
      <c r="R160" s="326" t="s">
        <v>22</v>
      </c>
      <c r="S160" s="210" t="s">
        <v>61</v>
      </c>
      <c r="T160" s="204"/>
      <c r="U160" s="204" t="s">
        <v>107</v>
      </c>
      <c r="V160" s="326" t="s">
        <v>22</v>
      </c>
      <c r="W160" s="355"/>
    </row>
    <row customHeight="1" ht="17.25">
      <c r="D161" s="640"/>
      <c r="E161" s="734"/>
      <c r="F161" s="3535"/>
      <c r="G161" s="735"/>
      <c r="H161" s="3527"/>
      <c r="I161" s="3527"/>
      <c r="J161" s="355"/>
      <c r="K161" s="295"/>
      <c r="L161" s="204"/>
      <c r="M161" s="204"/>
      <c r="N161" s="3769"/>
      <c r="O161" s="295"/>
      <c r="P161" s="204"/>
      <c r="Q161" s="204"/>
      <c r="R161" s="326"/>
      <c r="S161" s="210"/>
      <c r="T161" s="3770"/>
      <c r="U161" s="3771"/>
      <c r="V161" s="3771" t="s">
        <v>429</v>
      </c>
      <c r="W161" s="3772"/>
    </row>
    <row customHeight="1" ht="17.25">
      <c r="D162" s="640"/>
      <c r="E162" s="734"/>
      <c r="F162" s="3535"/>
      <c r="G162" s="735"/>
      <c r="H162" s="215"/>
      <c r="I162" s="215"/>
      <c r="J162" s="731"/>
      <c r="K162" s="295"/>
      <c r="L162" s="215"/>
      <c r="M162" s="215"/>
      <c r="N162" s="732"/>
      <c r="O162" s="206"/>
      <c r="P162" s="3770"/>
      <c r="Q162" s="3771"/>
      <c r="R162" s="3771" t="s">
        <v>430</v>
      </c>
      <c r="S162" s="3773"/>
      <c r="T162" s="3773"/>
      <c r="U162" s="3773"/>
      <c r="V162" s="3773"/>
      <c r="W162" s="3772"/>
    </row>
    <row customHeight="1" ht="17.25">
      <c r="D163" s="640"/>
      <c r="E163" s="734"/>
      <c r="F163" s="3535"/>
      <c r="G163" s="735"/>
      <c r="H163" s="215"/>
      <c r="I163" s="215"/>
      <c r="J163" s="731"/>
      <c r="K163" s="206"/>
      <c r="L163" s="3770"/>
      <c r="M163" s="3771"/>
      <c r="N163" s="3771" t="s">
        <v>431</v>
      </c>
      <c r="O163" s="3771"/>
      <c r="P163" s="3771"/>
      <c r="Q163" s="3771"/>
      <c r="R163" s="3771"/>
      <c r="S163" s="3773"/>
      <c r="T163" s="3773"/>
      <c r="U163" s="3773"/>
      <c r="V163" s="3773"/>
      <c r="W163" s="3772"/>
    </row>
    <row customHeight="1" ht="17.25"/>
    <row customHeight="1" ht="17.25">
      <c r="D165" s="640"/>
      <c r="E165" s="734"/>
      <c r="F165" s="3535"/>
      <c r="G165" s="735"/>
      <c r="H165" s="640"/>
      <c r="I165" s="640"/>
      <c r="J165" s="736"/>
      <c r="K165" s="737"/>
      <c r="L165" s="204"/>
      <c r="M165" s="204" t="s">
        <v>107</v>
      </c>
      <c r="N165" s="3769" t="str">
        <f>IF(Z165="","",INDEX(TERRITORY_MR_LIST,MATCH(Z165,TERRITORY_LIST_ID,0)))</f>
        <v/>
      </c>
      <c r="O165" s="289" t="s">
        <v>61</v>
      </c>
      <c r="P165" s="204"/>
      <c r="Q165" s="204" t="s">
        <v>107</v>
      </c>
      <c r="R165" s="326" t="s">
        <v>22</v>
      </c>
      <c r="S165" s="210" t="s">
        <v>61</v>
      </c>
      <c r="T165" s="204"/>
      <c r="U165" s="204" t="s">
        <v>107</v>
      </c>
      <c r="V165" s="326" t="s">
        <v>22</v>
      </c>
      <c r="W165" s="355"/>
    </row>
    <row customHeight="1" ht="17.25">
      <c r="D166" s="640"/>
      <c r="E166" s="734"/>
      <c r="F166" s="3535"/>
      <c r="G166" s="735"/>
      <c r="H166" s="640"/>
      <c r="I166" s="640"/>
      <c r="J166" s="736"/>
      <c r="K166" s="737"/>
      <c r="L166" s="204"/>
      <c r="M166" s="204"/>
      <c r="N166" s="3769"/>
      <c r="O166" s="295"/>
      <c r="P166" s="204"/>
      <c r="Q166" s="204"/>
      <c r="R166" s="326"/>
      <c r="S166" s="210"/>
      <c r="T166" s="3770"/>
      <c r="U166" s="3771"/>
      <c r="V166" s="3771" t="s">
        <v>429</v>
      </c>
      <c r="W166" s="3772"/>
    </row>
    <row customHeight="1" ht="17.25">
      <c r="D167" s="640"/>
      <c r="E167" s="734"/>
      <c r="F167" s="3535"/>
      <c r="G167" s="735"/>
      <c r="H167" s="640"/>
      <c r="I167" s="640"/>
      <c r="J167" s="736"/>
      <c r="K167" s="737"/>
      <c r="L167" s="215"/>
      <c r="M167" s="215"/>
      <c r="N167" s="732"/>
      <c r="O167" s="206"/>
      <c r="P167" s="3770"/>
      <c r="Q167" s="3771"/>
      <c r="R167" s="3771" t="s">
        <v>430</v>
      </c>
      <c r="S167" s="3773"/>
      <c r="T167" s="3773"/>
      <c r="U167" s="3773"/>
      <c r="V167" s="3773"/>
      <c r="W167" s="3772"/>
    </row>
    <row customHeight="1" ht="17.25"/>
    <row customHeight="1" ht="17.25">
      <c r="D169" s="640"/>
      <c r="E169" s="734"/>
      <c r="F169" s="3535"/>
      <c r="G169" s="735"/>
      <c r="H169" s="640"/>
      <c r="I169" s="640"/>
      <c r="J169" s="736"/>
      <c r="K169" s="737"/>
      <c r="L169" s="3774"/>
      <c r="M169" s="3774"/>
      <c r="N169" s="739"/>
      <c r="O169" s="295"/>
      <c r="P169" s="204"/>
      <c r="Q169" s="204" t="s">
        <v>107</v>
      </c>
      <c r="R169" s="326" t="s">
        <v>22</v>
      </c>
      <c r="S169" s="210" t="s">
        <v>61</v>
      </c>
      <c r="T169" s="204"/>
      <c r="U169" s="204" t="s">
        <v>107</v>
      </c>
      <c r="V169" s="326" t="s">
        <v>22</v>
      </c>
      <c r="W169" s="355"/>
    </row>
    <row customHeight="1" ht="17.25">
      <c r="D170" s="640"/>
      <c r="E170" s="734"/>
      <c r="F170" s="3535"/>
      <c r="G170" s="735"/>
      <c r="H170" s="640"/>
      <c r="I170" s="640"/>
      <c r="J170" s="736"/>
      <c r="K170" s="737"/>
      <c r="L170" s="3774"/>
      <c r="M170" s="3774"/>
      <c r="N170" s="739"/>
      <c r="O170" s="295"/>
      <c r="P170" s="204"/>
      <c r="Q170" s="204"/>
      <c r="R170" s="326"/>
      <c r="S170" s="210"/>
      <c r="T170" s="3770"/>
      <c r="U170" s="3771"/>
      <c r="V170" s="3771" t="s">
        <v>429</v>
      </c>
      <c r="W170" s="3772"/>
    </row>
    <row customHeight="1" ht="17.25"/>
    <row customHeight="1" ht="17.25">
      <c r="D172" s="640"/>
      <c r="E172" s="734"/>
      <c r="F172" s="3535"/>
      <c r="G172" s="735"/>
      <c r="H172" s="3774"/>
      <c r="I172" s="3774"/>
      <c r="J172" s="3775"/>
      <c r="K172" s="735"/>
      <c r="L172" s="3774"/>
      <c r="M172" s="3774"/>
      <c r="N172" s="735"/>
      <c r="O172" s="735"/>
      <c r="P172" s="3774"/>
      <c r="Q172" s="3774"/>
      <c r="R172" s="3776"/>
      <c r="S172" s="735"/>
      <c r="T172" s="204"/>
      <c r="U172" s="204" t="s">
        <v>107</v>
      </c>
      <c r="V172" s="326" t="s">
        <v>22</v>
      </c>
      <c r="W172" s="355"/>
    </row>
    <row r="174" customHeight="1" ht="17.25">
      <c r="A174" s="550" t="s">
        <v>1962</v>
      </c>
    </row>
    <row customHeight="1" ht="17.25"/>
    <row customHeight="1" ht="17.25">
      <c r="D176" s="3527"/>
      <c r="E176" s="3529"/>
      <c r="F176" s="3530"/>
      <c r="G176" s="3768"/>
      <c r="H176" s="3527"/>
      <c r="I176" s="3527">
        <v>1</v>
      </c>
      <c r="J176" s="355"/>
      <c r="K176" s="289" t="s">
        <v>61</v>
      </c>
      <c r="L176" s="204"/>
      <c r="M176" s="204" t="s">
        <v>107</v>
      </c>
      <c r="N176" s="3769" t="str">
        <f>IF(Z176="","",INDEX(TERRITORY_MR_LIST,MATCH(Z176,TERRITORY_LIST_ID,0)))</f>
        <v/>
      </c>
      <c r="O176" s="289" t="s">
        <v>61</v>
      </c>
      <c r="P176" s="204"/>
      <c r="Q176" s="204" t="s">
        <v>107</v>
      </c>
      <c r="R176" s="326" t="s">
        <v>22</v>
      </c>
      <c r="S176" s="742" t="s">
        <v>19</v>
      </c>
      <c r="T176" s="742"/>
      <c r="U176" s="742" t="s">
        <v>107</v>
      </c>
      <c r="V176" s="743"/>
      <c r="W176" s="355"/>
    </row>
    <row customHeight="1" ht="17.25">
      <c r="D177" s="3527"/>
      <c r="E177" s="3529"/>
      <c r="F177" s="3535"/>
      <c r="G177" s="3768"/>
      <c r="H177" s="3527"/>
      <c r="I177" s="3527"/>
      <c r="J177" s="355"/>
      <c r="K177" s="295"/>
      <c r="L177" s="204"/>
      <c r="M177" s="204"/>
      <c r="N177" s="3769"/>
      <c r="O177" s="295"/>
      <c r="P177" s="204"/>
      <c r="Q177" s="204"/>
      <c r="R177" s="326"/>
      <c r="S177" s="742"/>
      <c r="T177" s="3777"/>
      <c r="U177" s="3778"/>
      <c r="V177" s="3778"/>
      <c r="W177" s="355"/>
    </row>
    <row customHeight="1" ht="17.25">
      <c r="D178" s="215"/>
      <c r="E178" s="256"/>
      <c r="F178" s="3535"/>
      <c r="G178" s="730"/>
      <c r="H178" s="215"/>
      <c r="I178" s="215"/>
      <c r="J178" s="731"/>
      <c r="K178" s="295"/>
      <c r="L178" s="215"/>
      <c r="M178" s="215"/>
      <c r="N178" s="732"/>
      <c r="O178" s="206"/>
      <c r="P178" s="3770"/>
      <c r="Q178" s="3771"/>
      <c r="R178" s="3771" t="s">
        <v>430</v>
      </c>
      <c r="S178" s="3773"/>
      <c r="T178" s="3773"/>
      <c r="U178" s="3773"/>
      <c r="V178" s="3773"/>
      <c r="W178" s="3779"/>
    </row>
    <row customHeight="1" ht="17.25">
      <c r="D179" s="215"/>
      <c r="E179" s="256"/>
      <c r="F179" s="3535"/>
      <c r="G179" s="730"/>
      <c r="H179" s="215"/>
      <c r="I179" s="215"/>
      <c r="J179" s="731"/>
      <c r="K179" s="206"/>
      <c r="L179" s="3770"/>
      <c r="M179" s="3771"/>
      <c r="N179" s="3771" t="s">
        <v>431</v>
      </c>
      <c r="O179" s="3771"/>
      <c r="P179" s="3771"/>
      <c r="Q179" s="3771"/>
      <c r="R179" s="3771"/>
      <c r="S179" s="3773"/>
      <c r="T179" s="3773"/>
      <c r="U179" s="3773"/>
      <c r="V179" s="3773"/>
      <c r="W179" s="3772"/>
    </row>
    <row customHeight="1" ht="17.25">
      <c r="D180" s="215"/>
      <c r="E180" s="256"/>
      <c r="F180" s="3538"/>
      <c r="G180" s="730"/>
      <c r="H180" s="3770"/>
      <c r="I180" s="3771"/>
      <c r="J180" s="3771" t="s">
        <v>463</v>
      </c>
      <c r="K180" s="3771"/>
      <c r="L180" s="3771"/>
      <c r="M180" s="3771"/>
      <c r="N180" s="3771"/>
      <c r="O180" s="3771"/>
      <c r="P180" s="3771"/>
      <c r="Q180" s="3771"/>
      <c r="R180" s="3771"/>
      <c r="S180" s="3773"/>
      <c r="T180" s="3773"/>
      <c r="U180" s="3773"/>
      <c r="V180" s="3773"/>
      <c r="W180" s="3772"/>
    </row>
    <row customHeight="1" ht="17.25"/>
    <row customHeight="1" ht="17.25">
      <c r="D182" s="640"/>
      <c r="E182" s="734"/>
      <c r="F182" s="3535"/>
      <c r="G182" s="735"/>
      <c r="H182" s="3527"/>
      <c r="I182" s="3527">
        <v>1</v>
      </c>
      <c r="J182" s="355"/>
      <c r="K182" s="289" t="s">
        <v>61</v>
      </c>
      <c r="L182" s="204"/>
      <c r="M182" s="204" t="s">
        <v>107</v>
      </c>
      <c r="N182" s="3769" t="str">
        <f>IF(Z182="","",INDEX(TERRITORY_MR_LIST,MATCH(Z182,TERRITORY_LIST_ID,0)))</f>
        <v/>
      </c>
      <c r="O182" s="289" t="s">
        <v>61</v>
      </c>
      <c r="P182" s="204"/>
      <c r="Q182" s="204" t="s">
        <v>107</v>
      </c>
      <c r="R182" s="326" t="s">
        <v>22</v>
      </c>
      <c r="S182" s="742" t="s">
        <v>19</v>
      </c>
      <c r="T182" s="742"/>
      <c r="U182" s="742" t="s">
        <v>107</v>
      </c>
      <c r="V182" s="743"/>
      <c r="W182" s="355"/>
    </row>
    <row customHeight="1" ht="17.25">
      <c r="D183" s="640"/>
      <c r="E183" s="734"/>
      <c r="F183" s="3535"/>
      <c r="G183" s="735"/>
      <c r="H183" s="3527"/>
      <c r="I183" s="3527"/>
      <c r="J183" s="355"/>
      <c r="K183" s="295"/>
      <c r="L183" s="204"/>
      <c r="M183" s="204"/>
      <c r="N183" s="3769"/>
      <c r="O183" s="295"/>
      <c r="P183" s="204"/>
      <c r="Q183" s="204"/>
      <c r="R183" s="326"/>
      <c r="S183" s="742"/>
      <c r="T183" s="3777"/>
      <c r="U183" s="3778"/>
      <c r="V183" s="3778"/>
      <c r="W183" s="355"/>
    </row>
    <row customHeight="1" ht="17.25">
      <c r="D184" s="640"/>
      <c r="E184" s="734"/>
      <c r="F184" s="3535"/>
      <c r="G184" s="735"/>
      <c r="H184" s="215"/>
      <c r="I184" s="215"/>
      <c r="J184" s="731"/>
      <c r="K184" s="295"/>
      <c r="L184" s="215"/>
      <c r="M184" s="215"/>
      <c r="N184" s="732"/>
      <c r="O184" s="206"/>
      <c r="P184" s="3770"/>
      <c r="Q184" s="3771"/>
      <c r="R184" s="3771" t="s">
        <v>430</v>
      </c>
      <c r="S184" s="3773"/>
      <c r="T184" s="3773"/>
      <c r="U184" s="3773"/>
      <c r="V184" s="3773"/>
      <c r="W184" s="3779"/>
    </row>
    <row customHeight="1" ht="17.25">
      <c r="D185" s="640"/>
      <c r="E185" s="734"/>
      <c r="F185" s="3535"/>
      <c r="G185" s="735"/>
      <c r="H185" s="215"/>
      <c r="I185" s="215"/>
      <c r="J185" s="731"/>
      <c r="K185" s="206"/>
      <c r="L185" s="3770"/>
      <c r="M185" s="3771"/>
      <c r="N185" s="3771" t="s">
        <v>431</v>
      </c>
      <c r="O185" s="3771"/>
      <c r="P185" s="3771"/>
      <c r="Q185" s="3771"/>
      <c r="R185" s="3771"/>
      <c r="S185" s="3773"/>
      <c r="T185" s="3773"/>
      <c r="U185" s="3773"/>
      <c r="V185" s="3773"/>
      <c r="W185" s="3772"/>
    </row>
    <row customHeight="1" ht="17.25"/>
    <row customHeight="1" ht="17.25">
      <c r="D187" s="640"/>
      <c r="E187" s="734"/>
      <c r="F187" s="3535"/>
      <c r="G187" s="735"/>
      <c r="H187" s="640"/>
      <c r="I187" s="640"/>
      <c r="J187" s="747"/>
      <c r="K187" s="735"/>
      <c r="L187" s="204"/>
      <c r="M187" s="204" t="s">
        <v>107</v>
      </c>
      <c r="N187" s="3769" t="str">
        <f>IF(Z187="","",INDEX(TERRITORY_MR_LIST,MATCH(Z187,TERRITORY_LIST_ID,0)))</f>
        <v/>
      </c>
      <c r="O187" s="289" t="s">
        <v>61</v>
      </c>
      <c r="P187" s="204"/>
      <c r="Q187" s="204" t="s">
        <v>107</v>
      </c>
      <c r="R187" s="326" t="s">
        <v>22</v>
      </c>
      <c r="S187" s="742" t="s">
        <v>19</v>
      </c>
      <c r="T187" s="742"/>
      <c r="U187" s="742" t="s">
        <v>107</v>
      </c>
      <c r="V187" s="743"/>
      <c r="W187" s="355"/>
    </row>
    <row customHeight="1" ht="17.25">
      <c r="D188" s="640"/>
      <c r="E188" s="734"/>
      <c r="F188" s="3535"/>
      <c r="G188" s="735"/>
      <c r="H188" s="640"/>
      <c r="I188" s="640"/>
      <c r="J188" s="747"/>
      <c r="K188" s="735"/>
      <c r="L188" s="204"/>
      <c r="M188" s="204"/>
      <c r="N188" s="3769"/>
      <c r="O188" s="295"/>
      <c r="P188" s="204"/>
      <c r="Q188" s="204"/>
      <c r="R188" s="326"/>
      <c r="S188" s="742"/>
      <c r="T188" s="3777"/>
      <c r="U188" s="3778"/>
      <c r="V188" s="3778"/>
      <c r="W188" s="355"/>
    </row>
    <row customHeight="1" ht="17.25">
      <c r="D189" s="640"/>
      <c r="E189" s="734"/>
      <c r="F189" s="3535"/>
      <c r="G189" s="735"/>
      <c r="H189" s="640"/>
      <c r="I189" s="640"/>
      <c r="J189" s="747"/>
      <c r="K189" s="735"/>
      <c r="L189" s="215"/>
      <c r="M189" s="215"/>
      <c r="N189" s="732"/>
      <c r="O189" s="206"/>
      <c r="P189" s="3770"/>
      <c r="Q189" s="3771"/>
      <c r="R189" s="3771" t="s">
        <v>430</v>
      </c>
      <c r="S189" s="3773"/>
      <c r="T189" s="3773"/>
      <c r="U189" s="3773"/>
      <c r="V189" s="3773"/>
      <c r="W189" s="3779"/>
    </row>
    <row customHeight="1" ht="17.25"/>
    <row customHeight="1" ht="17.25">
      <c r="D191" s="640"/>
      <c r="E191" s="734"/>
      <c r="F191" s="3535"/>
      <c r="G191" s="735"/>
      <c r="H191" s="640"/>
      <c r="I191" s="640"/>
      <c r="J191" s="747"/>
      <c r="K191" s="735"/>
      <c r="L191" s="640"/>
      <c r="M191" s="640"/>
      <c r="N191" s="739"/>
      <c r="O191" s="295"/>
      <c r="P191" s="204"/>
      <c r="Q191" s="204" t="s">
        <v>107</v>
      </c>
      <c r="R191" s="326" t="s">
        <v>22</v>
      </c>
      <c r="S191" s="742" t="s">
        <v>19</v>
      </c>
      <c r="T191" s="742"/>
      <c r="U191" s="742" t="s">
        <v>107</v>
      </c>
      <c r="V191" s="743"/>
      <c r="W191" s="355"/>
    </row>
    <row customHeight="1" ht="17.25">
      <c r="D192" s="640"/>
      <c r="E192" s="734"/>
      <c r="F192" s="3535"/>
      <c r="G192" s="735"/>
      <c r="H192" s="640"/>
      <c r="I192" s="640"/>
      <c r="J192" s="747"/>
      <c r="K192" s="735"/>
      <c r="L192" s="640"/>
      <c r="M192" s="640"/>
      <c r="N192" s="739"/>
      <c r="O192" s="295"/>
      <c r="P192" s="204"/>
      <c r="Q192" s="204"/>
      <c r="R192" s="326"/>
      <c r="S192" s="742"/>
      <c r="T192" s="3777"/>
      <c r="U192" s="3778"/>
      <c r="V192" s="3778"/>
      <c r="W192" s="355"/>
    </row>
    <row customHeight="1" ht="17.25"/>
    <row customHeight="1" ht="16.5">
      <c r="D194" s="3527"/>
      <c r="E194" s="3563"/>
      <c r="F194" s="3563"/>
      <c r="G194" s="3480"/>
      <c r="H194" s="3531"/>
      <c r="I194" s="3532"/>
      <c r="J194" s="247"/>
      <c r="K194" s="248"/>
      <c r="L194" s="248"/>
      <c r="M194" s="248"/>
      <c r="N194" s="3533"/>
      <c r="O194" s="248"/>
      <c r="P194" s="248"/>
      <c r="Q194" s="248"/>
      <c r="R194" s="250"/>
      <c r="S194" s="248"/>
      <c r="T194" s="248"/>
      <c r="U194" s="248"/>
      <c r="V194" s="250"/>
      <c r="W194" s="251"/>
    </row>
    <row customHeight="1" ht="16.5">
      <c r="D195" s="3527"/>
      <c r="E195" s="3563"/>
      <c r="F195" s="3563"/>
      <c r="G195" s="3480"/>
      <c r="H195" s="3536"/>
      <c r="W195" s="3537"/>
    </row>
    <row customHeight="1" ht="17.25">
      <c r="D196" s="3527"/>
      <c r="E196" s="3563"/>
      <c r="F196" s="3563"/>
      <c r="G196" s="3480"/>
      <c r="H196" s="3536"/>
      <c r="W196" s="3537"/>
    </row>
    <row customHeight="1" ht="17.25">
      <c r="D197" s="3527"/>
      <c r="E197" s="3563"/>
      <c r="F197" s="3563"/>
      <c r="G197" s="3480"/>
      <c r="H197" s="3536"/>
      <c r="W197" s="3537"/>
    </row>
    <row customHeight="1" ht="17.25">
      <c r="D198" s="3527"/>
      <c r="E198" s="3563"/>
      <c r="F198" s="3563"/>
      <c r="G198" s="3480"/>
      <c r="H198" s="3539"/>
      <c r="I198" s="3540"/>
      <c r="J198" s="3540"/>
      <c r="K198" s="3540"/>
      <c r="L198" s="3540"/>
      <c r="M198" s="3540"/>
      <c r="N198" s="3540"/>
      <c r="O198" s="3540"/>
      <c r="P198" s="3540"/>
      <c r="Q198" s="3540"/>
      <c r="R198" s="3540"/>
      <c r="S198" s="3541"/>
      <c r="T198" s="3541"/>
      <c r="U198" s="3541"/>
      <c r="V198" s="3541"/>
      <c r="W198" s="3542"/>
    </row>
    <row r="200" customHeight="1" ht="17.25">
      <c r="A200" s="550" t="s">
        <v>1963</v>
      </c>
    </row>
    <row customHeight="1" ht="17.25"/>
    <row customHeight="1" ht="15">
      <c r="D202" s="748"/>
      <c r="E202" s="3557"/>
      <c r="F202" s="3557"/>
      <c r="G202" s="289"/>
      <c r="H202" s="749"/>
      <c r="I202" s="3780">
        <v>1</v>
      </c>
      <c r="J202" s="355"/>
      <c r="K202" s="751"/>
      <c r="L202" s="289" t="s">
        <v>61</v>
      </c>
      <c r="M202" s="289" t="s">
        <v>61</v>
      </c>
      <c r="N202" s="749"/>
      <c r="O202" s="204" t="s">
        <v>107</v>
      </c>
      <c r="P202" s="413"/>
      <c r="Q202" s="751"/>
      <c r="R202" s="289" t="s">
        <v>61</v>
      </c>
      <c r="S202" s="289" t="s">
        <v>61</v>
      </c>
      <c r="T202" s="752"/>
      <c r="U202" s="204" t="s">
        <v>107</v>
      </c>
      <c r="V202" s="3781" t="str">
        <f>IF(AK202="","",INDEX(TERRITORY_MR_LIST,MATCH(AK202,TERRITORY_LIST_ID,0)))</f>
        <v/>
      </c>
      <c r="W202" s="211"/>
      <c r="X202" s="289" t="s">
        <v>61</v>
      </c>
      <c r="Y202" s="289" t="s">
        <v>19</v>
      </c>
      <c r="Z202" s="749"/>
      <c r="AA202" s="204" t="s">
        <v>107</v>
      </c>
      <c r="AB202" s="754"/>
      <c r="AC202" s="3567"/>
      <c r="AD202" s="289" t="s">
        <v>61</v>
      </c>
      <c r="AE202" s="289" t="s">
        <v>19</v>
      </c>
      <c r="AF202" s="211"/>
      <c r="AG202" s="204" t="s">
        <v>107</v>
      </c>
      <c r="AH202" s="641"/>
      <c r="AI202" s="355"/>
    </row>
    <row customHeight="1" ht="15">
      <c r="D203" s="748"/>
      <c r="E203" s="3557"/>
      <c r="F203" s="3557"/>
      <c r="G203" s="295"/>
      <c r="H203" s="749"/>
      <c r="I203" s="3780"/>
      <c r="J203" s="355"/>
      <c r="K203" s="3782"/>
      <c r="L203" s="295"/>
      <c r="M203" s="295"/>
      <c r="N203" s="749"/>
      <c r="O203" s="204"/>
      <c r="P203" s="413"/>
      <c r="Q203" s="756"/>
      <c r="R203" s="295"/>
      <c r="S203" s="295"/>
      <c r="T203" s="752"/>
      <c r="U203" s="204"/>
      <c r="V203" s="3783"/>
      <c r="W203" s="692"/>
      <c r="X203" s="295"/>
      <c r="Y203" s="295"/>
      <c r="Z203" s="749"/>
      <c r="AA203" s="204"/>
      <c r="AB203" s="758"/>
      <c r="AC203" s="3759"/>
      <c r="AD203" s="206"/>
      <c r="AE203" s="206"/>
      <c r="AF203" s="3784"/>
      <c r="AG203" s="3770"/>
      <c r="AH203" s="3771" t="s">
        <v>1964</v>
      </c>
      <c r="AI203" s="3772"/>
    </row>
    <row customHeight="1" ht="15">
      <c r="D204" s="748"/>
      <c r="E204" s="3557"/>
      <c r="F204" s="3557"/>
      <c r="G204" s="295"/>
      <c r="H204" s="749"/>
      <c r="I204" s="3780"/>
      <c r="J204" s="355"/>
      <c r="K204" s="3782"/>
      <c r="L204" s="295"/>
      <c r="M204" s="295"/>
      <c r="N204" s="749"/>
      <c r="O204" s="204"/>
      <c r="P204" s="413"/>
      <c r="Q204" s="756"/>
      <c r="R204" s="295"/>
      <c r="S204" s="295"/>
      <c r="T204" s="752"/>
      <c r="U204" s="204"/>
      <c r="V204" s="3783"/>
      <c r="W204" s="692"/>
      <c r="X204" s="295"/>
      <c r="Y204" s="295"/>
      <c r="Z204" s="692"/>
      <c r="AA204" s="3785"/>
      <c r="AB204" s="3786" t="s">
        <v>1965</v>
      </c>
      <c r="AC204" s="3786"/>
      <c r="AD204" s="3786"/>
      <c r="AE204" s="3786"/>
      <c r="AF204" s="3786"/>
      <c r="AG204" s="3786"/>
      <c r="AH204" s="3786"/>
      <c r="AI204" s="3787"/>
    </row>
    <row customHeight="1" ht="15">
      <c r="D205" s="748"/>
      <c r="E205" s="3557"/>
      <c r="F205" s="3557"/>
      <c r="G205" s="295"/>
      <c r="H205" s="749"/>
      <c r="I205" s="3780"/>
      <c r="J205" s="355"/>
      <c r="K205" s="3782"/>
      <c r="L205" s="295"/>
      <c r="M205" s="295"/>
      <c r="N205" s="749"/>
      <c r="O205" s="204"/>
      <c r="P205" s="763"/>
      <c r="Q205" s="756"/>
      <c r="R205" s="295"/>
      <c r="S205" s="295"/>
      <c r="T205" s="764"/>
      <c r="U205" s="3788"/>
      <c r="V205" s="3771" t="s">
        <v>101</v>
      </c>
      <c r="W205" s="3771"/>
      <c r="X205" s="3771"/>
      <c r="Y205" s="3771"/>
      <c r="Z205" s="3771"/>
      <c r="AA205" s="3771"/>
      <c r="AB205" s="3771"/>
      <c r="AC205" s="3771"/>
      <c r="AD205" s="3771"/>
      <c r="AE205" s="3771"/>
      <c r="AF205" s="3771"/>
      <c r="AG205" s="3771"/>
      <c r="AH205" s="3771"/>
      <c r="AI205" s="3772"/>
    </row>
    <row customHeight="1" ht="11.25">
      <c r="D206" s="748"/>
      <c r="E206" s="3557"/>
      <c r="F206" s="3557"/>
      <c r="G206" s="295"/>
      <c r="H206" s="3774"/>
      <c r="I206" s="3780"/>
      <c r="J206" s="766"/>
      <c r="K206" s="3782"/>
      <c r="L206" s="295"/>
      <c r="M206" s="295"/>
      <c r="N206" s="3774"/>
      <c r="O206" s="3785"/>
      <c r="P206" s="3771" t="s">
        <v>1966</v>
      </c>
      <c r="Q206" s="3771"/>
      <c r="R206" s="3771"/>
      <c r="S206" s="3771"/>
      <c r="T206" s="3771"/>
      <c r="U206" s="3771"/>
      <c r="V206" s="3771"/>
      <c r="W206" s="3771"/>
      <c r="X206" s="3771"/>
      <c r="Y206" s="3771"/>
      <c r="Z206" s="3771"/>
      <c r="AA206" s="3771"/>
      <c r="AB206" s="3771"/>
      <c r="AC206" s="3771"/>
      <c r="AD206" s="3771"/>
      <c r="AE206" s="3771"/>
      <c r="AF206" s="3771"/>
      <c r="AG206" s="3771"/>
      <c r="AH206" s="3771"/>
      <c r="AI206" s="3772"/>
    </row>
    <row customHeight="1" ht="11.25">
      <c r="D207" s="748"/>
      <c r="E207" s="3557"/>
      <c r="F207" s="3557"/>
      <c r="G207" s="206"/>
      <c r="H207" s="767"/>
      <c r="I207" s="768"/>
      <c r="J207" s="3771" t="s">
        <v>463</v>
      </c>
      <c r="K207" s="3771"/>
      <c r="L207" s="3771"/>
      <c r="M207" s="3771"/>
      <c r="N207" s="3771"/>
      <c r="O207" s="3771"/>
      <c r="P207" s="3771"/>
      <c r="Q207" s="3771"/>
      <c r="R207" s="3771"/>
      <c r="S207" s="3771"/>
      <c r="T207" s="3771"/>
      <c r="U207" s="3771"/>
      <c r="V207" s="3771"/>
      <c r="W207" s="3771"/>
      <c r="X207" s="3771"/>
      <c r="Y207" s="3771"/>
      <c r="Z207" s="3771"/>
      <c r="AA207" s="3771"/>
      <c r="AB207" s="3771"/>
      <c r="AC207" s="3771"/>
      <c r="AD207" s="3771"/>
      <c r="AE207" s="3771"/>
      <c r="AF207" s="3771"/>
      <c r="AG207" s="3771"/>
      <c r="AH207" s="3771"/>
      <c r="AI207" s="3772"/>
    </row>
    <row customHeight="1" ht="17.25"/>
    <row customHeight="1" ht="15">
      <c r="D209" s="748"/>
      <c r="E209" s="3557"/>
      <c r="F209" s="3557"/>
      <c r="G209" s="3563"/>
      <c r="H209" s="290"/>
      <c r="I209" s="3564"/>
      <c r="J209" s="247"/>
      <c r="K209" s="247"/>
      <c r="L209" s="248"/>
      <c r="M209" s="248"/>
      <c r="N209" s="292"/>
      <c r="O209" s="248"/>
      <c r="P209" s="247"/>
      <c r="Q209" s="247"/>
      <c r="R209" s="248"/>
      <c r="S209" s="248"/>
      <c r="T209" s="293"/>
      <c r="U209" s="248"/>
      <c r="V209" s="247"/>
      <c r="W209" s="248"/>
      <c r="X209" s="248"/>
      <c r="Y209" s="248"/>
      <c r="Z209" s="292"/>
      <c r="AA209" s="248"/>
      <c r="AB209" s="247"/>
      <c r="AC209" s="3565"/>
      <c r="AD209" s="248"/>
      <c r="AE209" s="248"/>
      <c r="AF209" s="248"/>
      <c r="AG209" s="248"/>
      <c r="AH209" s="292"/>
      <c r="AI209" s="251"/>
    </row>
    <row customHeight="1" ht="15">
      <c r="D210" s="748"/>
      <c r="E210" s="3557"/>
      <c r="F210" s="3557"/>
      <c r="G210" s="3563"/>
      <c r="H210" s="296"/>
      <c r="AI210" s="3537"/>
    </row>
    <row customHeight="1" ht="15">
      <c r="D211" s="748"/>
      <c r="E211" s="3557"/>
      <c r="F211" s="3557"/>
      <c r="G211" s="3563"/>
      <c r="H211" s="296"/>
      <c r="AI211" s="3537"/>
    </row>
    <row customHeight="1" ht="15">
      <c r="D212" s="748"/>
      <c r="E212" s="3557"/>
      <c r="F212" s="3557"/>
      <c r="G212" s="3563"/>
      <c r="H212" s="296"/>
      <c r="AI212" s="3537"/>
    </row>
    <row customHeight="1" ht="11.25">
      <c r="D213" s="748"/>
      <c r="E213" s="3557"/>
      <c r="F213" s="3557"/>
      <c r="G213" s="3563"/>
      <c r="H213" s="3566"/>
      <c r="AI213" s="3537"/>
    </row>
    <row customHeight="1" ht="11.25">
      <c r="D214" s="748"/>
      <c r="E214" s="3557"/>
      <c r="F214" s="3557"/>
      <c r="G214" s="3569"/>
      <c r="H214" s="301"/>
      <c r="I214" s="302"/>
      <c r="J214" s="3540"/>
      <c r="K214" s="3540"/>
      <c r="L214" s="3540"/>
      <c r="M214" s="3540"/>
      <c r="N214" s="3540"/>
      <c r="O214" s="3540"/>
      <c r="P214" s="3540"/>
      <c r="Q214" s="3540"/>
      <c r="R214" s="3540"/>
      <c r="S214" s="3540"/>
      <c r="T214" s="3540"/>
      <c r="U214" s="3540"/>
      <c r="V214" s="3540"/>
      <c r="W214" s="3540"/>
      <c r="X214" s="3540"/>
      <c r="Y214" s="3540"/>
      <c r="Z214" s="3540"/>
      <c r="AA214" s="3540"/>
      <c r="AB214" s="3540"/>
      <c r="AC214" s="3540"/>
      <c r="AD214" s="3540"/>
      <c r="AE214" s="3540"/>
      <c r="AF214" s="3540"/>
      <c r="AG214" s="3540"/>
      <c r="AH214" s="3540"/>
      <c r="AI214" s="3542"/>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7E9F3-908A-649F-4371-401AC27CC7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style="7348" width="43.140625" hidden="1"/>
    <col min="4" max="8" style="7348" width="36.421875" customWidth="1"/>
  </cols>
  <sheetData>
    <row customHeight="1" ht="9">
      <c r="A1" s="438" t="s">
        <v>1967</v>
      </c>
      <c r="B1" s="438"/>
      <c r="C1" s="439" t="s">
        <v>1968</v>
      </c>
      <c r="D1" s="440" t="s">
        <v>830</v>
      </c>
      <c r="E1" s="440" t="s">
        <v>876</v>
      </c>
      <c r="F1" s="440" t="s">
        <v>930</v>
      </c>
      <c r="G1" s="440" t="s">
        <v>916</v>
      </c>
      <c r="H1" s="440" t="s">
        <v>1643</v>
      </c>
    </row>
    <row customHeight="1" ht="9">
      <c r="A2" s="441" t="s">
        <v>1969</v>
      </c>
      <c r="B2" s="441"/>
      <c r="C2" s="3655" t="str">
        <f>INDEX(TEMPLATE_NUMBER_FORM_LIST,MATCH(TEMPLATE_SPHERE,TEMPLATE_SPHERE_LIST,0))</f>
        <v>10</v>
      </c>
      <c r="D2" s="441" t="s">
        <v>1492</v>
      </c>
      <c r="E2" s="441" t="s">
        <v>166</v>
      </c>
      <c r="F2" s="443" t="s">
        <v>166</v>
      </c>
      <c r="G2" s="441" t="s">
        <v>166</v>
      </c>
      <c r="H2" s="444"/>
    </row>
    <row customHeight="1" ht="63">
      <c r="A3" s="438"/>
      <c r="B3" s="438" t="s">
        <v>107</v>
      </c>
      <c r="C3" s="365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3655" t="s">
        <v>1970</v>
      </c>
      <c r="E3" s="36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443"/>
      <c r="G3" s="444"/>
      <c r="H3" s="438"/>
    </row>
    <row customHeight="1" ht="243">
      <c r="A4" s="438" t="s">
        <v>1971</v>
      </c>
      <c r="B4" s="438" t="s">
        <v>108</v>
      </c>
      <c r="C4" s="3655" t="str">
        <f>IF(TEMPLATE_SPHERE="HEAT",D4,IF(TEMPLATE_SPHERE="TKO",H4,E4))</f>
        <v>Форма 1. Информация об организации, осуществляющей горячее водоснабжение (общая информация)</v>
      </c>
      <c r="D4" s="441" t="s">
        <v>1972</v>
      </c>
      <c r="E4" s="36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441"/>
      <c r="G4" s="441"/>
      <c r="H4" s="438" t="s">
        <v>1973</v>
      </c>
    </row>
    <row customHeight="1" ht="117">
      <c r="A5" s="438" t="s">
        <v>1974</v>
      </c>
      <c r="B5" s="438" t="s">
        <v>88</v>
      </c>
      <c r="C5" s="365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438" t="s">
        <v>1975</v>
      </c>
      <c r="E5" s="36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444"/>
      <c r="G5" s="444"/>
      <c r="H5" s="438" t="s">
        <v>1976</v>
      </c>
    </row>
    <row customHeight="1" ht="90">
      <c r="A6" s="438" t="s">
        <v>1977</v>
      </c>
      <c r="B6" s="438" t="s">
        <v>89</v>
      </c>
      <c r="C6" s="365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36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36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438"/>
      <c r="G6" s="438"/>
      <c r="H6" s="444"/>
    </row>
    <row customHeight="1" ht="45">
      <c r="A7" s="438" t="s">
        <v>1978</v>
      </c>
      <c r="B7" s="438" t="s">
        <v>109</v>
      </c>
      <c r="C7" s="365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38" t="s">
        <v>1979</v>
      </c>
      <c r="E7" s="438" t="s">
        <v>1980</v>
      </c>
      <c r="F7" s="444"/>
      <c r="G7" s="444"/>
      <c r="H7" s="444"/>
    </row>
    <row customHeight="1" ht="108">
      <c r="A8" s="438" t="s">
        <v>1981</v>
      </c>
      <c r="B8" s="438" t="s">
        <v>90</v>
      </c>
      <c r="C8" s="365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38" t="s">
        <v>1178</v>
      </c>
      <c r="E8" s="438" t="s">
        <v>1982</v>
      </c>
      <c r="F8" s="444"/>
      <c r="G8" s="444"/>
      <c r="H8" s="444"/>
    </row>
    <row customHeight="1" ht="99">
      <c r="A9" s="438" t="s">
        <v>1983</v>
      </c>
      <c r="B9" s="438"/>
      <c r="C9" s="438" t="s">
        <v>1984</v>
      </c>
      <c r="D9" s="438"/>
      <c r="E9" s="438"/>
      <c r="F9" s="444"/>
      <c r="G9" s="444"/>
      <c r="H9" s="444"/>
    </row>
    <row customHeight="1" ht="126">
      <c r="A10" s="438" t="s">
        <v>1985</v>
      </c>
      <c r="B10" s="438"/>
      <c r="C10" s="438" t="s">
        <v>1986</v>
      </c>
      <c r="D10" s="438"/>
      <c r="E10" s="438"/>
      <c r="F10" s="444"/>
      <c r="G10" s="444"/>
      <c r="H10" s="444"/>
    </row>
    <row customHeight="1" ht="108">
      <c r="A11" s="438" t="s">
        <v>1987</v>
      </c>
      <c r="B11" s="438"/>
      <c r="C11" s="438" t="s">
        <v>1988</v>
      </c>
      <c r="D11" s="438"/>
      <c r="E11" s="438"/>
      <c r="F11" s="444"/>
      <c r="G11" s="444"/>
      <c r="H11" s="444"/>
    </row>
    <row customHeight="1" ht="54">
      <c r="A12" s="438" t="s">
        <v>1989</v>
      </c>
      <c r="B12" s="438"/>
      <c r="C12" s="438" t="s">
        <v>1990</v>
      </c>
      <c r="D12" s="438"/>
      <c r="E12" s="438"/>
      <c r="F12" s="444"/>
      <c r="G12" s="444"/>
      <c r="H12" s="444"/>
    </row>
    <row customHeight="1" ht="45">
      <c r="A13" s="438" t="s">
        <v>1991</v>
      </c>
      <c r="B13" s="438"/>
      <c r="C13" s="438" t="s">
        <v>1992</v>
      </c>
      <c r="D13" s="438"/>
      <c r="E13" s="438"/>
      <c r="F13" s="444"/>
      <c r="G13" s="444"/>
      <c r="H13" s="444"/>
    </row>
    <row customHeight="1" ht="117">
      <c r="A14" s="438" t="s">
        <v>1993</v>
      </c>
      <c r="B14" s="438"/>
      <c r="C14" s="438" t="s">
        <v>1994</v>
      </c>
      <c r="D14" s="438"/>
      <c r="E14" s="438"/>
      <c r="F14" s="444"/>
      <c r="G14" s="444"/>
      <c r="H14" s="444"/>
    </row>
    <row customHeight="1" ht="117">
      <c r="A15" s="438" t="s">
        <v>1995</v>
      </c>
      <c r="B15" s="438"/>
      <c r="C15" s="438" t="s">
        <v>1996</v>
      </c>
      <c r="D15" s="438"/>
      <c r="E15" s="438"/>
      <c r="F15" s="444"/>
      <c r="G15" s="444"/>
      <c r="H15" s="444"/>
    </row>
    <row customHeight="1" ht="63">
      <c r="A16" s="438" t="s">
        <v>1997</v>
      </c>
      <c r="B16" s="438"/>
      <c r="C16" s="438" t="s">
        <v>1998</v>
      </c>
      <c r="D16" s="438"/>
      <c r="E16" s="438"/>
      <c r="F16" s="444"/>
      <c r="G16" s="444"/>
      <c r="H16" s="444"/>
    </row>
    <row customHeight="1" ht="54">
      <c r="A17" s="438" t="s">
        <v>1999</v>
      </c>
      <c r="B17" s="438"/>
      <c r="C17" s="3655" t="s">
        <v>2000</v>
      </c>
      <c r="D17" s="438"/>
      <c r="E17" s="438"/>
      <c r="F17" s="444"/>
      <c r="G17" s="444"/>
      <c r="H17" s="444"/>
    </row>
    <row customHeight="1" ht="27">
      <c r="A18" s="438" t="s">
        <v>2001</v>
      </c>
      <c r="B18" s="438"/>
      <c r="C18" s="3655" t="s">
        <v>2002</v>
      </c>
      <c r="D18" s="438"/>
      <c r="E18" s="438"/>
      <c r="F18" s="444"/>
      <c r="G18" s="444"/>
      <c r="H18" s="444"/>
    </row>
    <row customHeight="1" ht="54">
      <c r="A19" s="438" t="s">
        <v>2003</v>
      </c>
      <c r="B19" s="438"/>
      <c r="C19" s="3655" t="s">
        <v>2004</v>
      </c>
      <c r="D19" s="438"/>
      <c r="E19" s="438"/>
      <c r="F19" s="444"/>
      <c r="G19" s="444"/>
      <c r="H19" s="444"/>
    </row>
    <row customHeight="1" ht="36">
      <c r="A20" s="438" t="s">
        <v>2005</v>
      </c>
      <c r="B20" s="438"/>
      <c r="C20" s="3655" t="s">
        <v>2006</v>
      </c>
      <c r="D20" s="438"/>
      <c r="E20" s="438"/>
      <c r="F20" s="444"/>
      <c r="G20" s="444"/>
      <c r="H20" s="444"/>
    </row>
    <row customHeight="1" ht="36">
      <c r="A21" s="438" t="s">
        <v>2007</v>
      </c>
      <c r="B21" s="438"/>
      <c r="C21" s="3655" t="s">
        <v>2008</v>
      </c>
      <c r="D21" s="438"/>
      <c r="E21" s="438"/>
      <c r="F21" s="444"/>
      <c r="G21" s="444"/>
      <c r="H21" s="444"/>
    </row>
    <row customHeight="1" ht="27">
      <c r="A22" s="438" t="s">
        <v>2009</v>
      </c>
      <c r="B22" s="438"/>
      <c r="C22" s="3655" t="s">
        <v>2010</v>
      </c>
      <c r="D22" s="438"/>
      <c r="E22" s="438"/>
      <c r="F22" s="444"/>
      <c r="G22" s="444"/>
      <c r="H22" s="444"/>
    </row>
    <row customHeight="1" ht="36">
      <c r="A23" s="438" t="s">
        <v>2011</v>
      </c>
      <c r="B23" s="438"/>
      <c r="C23" s="3655" t="s">
        <v>2012</v>
      </c>
      <c r="D23" s="438"/>
      <c r="E23" s="438"/>
      <c r="F23" s="444"/>
      <c r="G23" s="444"/>
      <c r="H23" s="444"/>
    </row>
    <row customHeight="1" ht="28.5">
      <c r="A24" s="438" t="s">
        <v>2013</v>
      </c>
      <c r="B24" s="438"/>
      <c r="C24" s="3655" t="s">
        <v>2014</v>
      </c>
      <c r="D24" s="438"/>
      <c r="E24" s="438"/>
      <c r="F24" s="444"/>
      <c r="G24" s="444"/>
      <c r="H24" s="444"/>
    </row>
    <row customHeight="1" ht="36">
      <c r="A25" s="438" t="s">
        <v>2015</v>
      </c>
      <c r="B25" s="438"/>
      <c r="C25" s="3655" t="s">
        <v>2016</v>
      </c>
      <c r="D25" s="438"/>
      <c r="E25" s="438"/>
      <c r="F25" s="444"/>
      <c r="G25" s="444"/>
      <c r="H25" s="444"/>
    </row>
    <row customHeight="1" ht="27">
      <c r="A26" s="438" t="s">
        <v>2017</v>
      </c>
      <c r="B26" s="438"/>
      <c r="C26" s="3655" t="s">
        <v>2018</v>
      </c>
      <c r="D26" s="438"/>
      <c r="E26" s="438"/>
      <c r="F26" s="444"/>
      <c r="G26" s="444"/>
      <c r="H26" s="444"/>
    </row>
    <row customHeight="1" ht="36">
      <c r="A27" s="438" t="s">
        <v>2019</v>
      </c>
      <c r="B27" s="438"/>
      <c r="C27" s="3655" t="s">
        <v>2020</v>
      </c>
      <c r="D27" s="438"/>
      <c r="E27" s="438"/>
      <c r="F27" s="444"/>
      <c r="G27" s="444"/>
      <c r="H27" s="444"/>
    </row>
    <row customHeight="1" ht="28.5">
      <c r="A28" s="438" t="s">
        <v>2021</v>
      </c>
      <c r="B28" s="438"/>
      <c r="C28" s="3655" t="s">
        <v>2022</v>
      </c>
      <c r="D28" s="438"/>
      <c r="E28" s="438"/>
      <c r="F28" s="444"/>
      <c r="G28" s="444"/>
      <c r="H28" s="444"/>
    </row>
    <row customHeight="1" ht="126">
      <c r="A29" s="438" t="s">
        <v>2023</v>
      </c>
      <c r="B29" s="438" t="s">
        <v>1594</v>
      </c>
      <c r="C29" s="365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438" t="s">
        <v>2024</v>
      </c>
      <c r="E29" s="36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444"/>
      <c r="G29" s="444"/>
      <c r="H29" s="438" t="s">
        <v>2025</v>
      </c>
    </row>
    <row customHeight="1" ht="36">
      <c r="A30" s="438" t="s">
        <v>2026</v>
      </c>
      <c r="B30" s="438"/>
      <c r="C30" s="365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438" t="s">
        <v>2027</v>
      </c>
      <c r="E30" s="36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444"/>
      <c r="G30" s="444"/>
      <c r="H30" s="444"/>
    </row>
    <row customHeight="1" ht="54">
      <c r="A31" s="438" t="s">
        <v>2028</v>
      </c>
      <c r="B31" s="438"/>
      <c r="C31" s="3655" t="str">
        <f>IF(TEMPLATE_SPHERE="HEAT",D31,IF(TEMPLATE_SPHERE="TKO",H31,E31))</f>
        <v>Форма 1. Информация об организации, осуществляющей горячее водоснабжение (общая информация)</v>
      </c>
      <c r="D31" s="438" t="s">
        <v>2029</v>
      </c>
      <c r="E31" s="365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444"/>
      <c r="G31" s="444"/>
      <c r="H31" s="444"/>
    </row>
    <row customHeight="1" ht="198">
      <c r="A32" s="438" t="s">
        <v>2030</v>
      </c>
      <c r="B32" s="438"/>
      <c r="C32" s="3655" t="str">
        <f>IF(TEMPLATE_SPHERE="HEAT",D32,IF(TEMPLATE_SPHERE="TKO",H32,E32))</f>
        <v>Форма 7. Информация об инвестиционных программах организации горячего водоснабжения и отчетах об их исполнении</v>
      </c>
      <c r="D32" s="438" t="s">
        <v>2031</v>
      </c>
      <c r="E32" s="36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444"/>
      <c r="G32" s="444"/>
      <c r="H32" s="438" t="s">
        <v>2032</v>
      </c>
    </row>
    <row customHeight="1" ht="9">
      <c r="A33" s="438"/>
      <c r="B33" s="438"/>
      <c r="C33" s="3655"/>
      <c r="D33" s="438"/>
      <c r="E33" s="438"/>
      <c r="F33" s="444"/>
      <c r="G33" s="444"/>
      <c r="H33" s="444"/>
    </row>
    <row customHeight="1" ht="9">
      <c r="A34" s="438"/>
      <c r="B34" s="438" t="s">
        <v>1530</v>
      </c>
      <c r="C34" s="3655">
        <f>INDEX(TEMPLATE_NAME_FORM_LIST,B34,MATCH(TEMPLATE_SPHERE,TEMPLATE_SPHERE_LIST,0))</f>
        <v>0</v>
      </c>
      <c r="D34" s="438"/>
      <c r="E34" s="438"/>
      <c r="F34" s="444"/>
      <c r="G34" s="444"/>
      <c r="H34" s="44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CA4B833-72F4-3771-01E2-C90D0DB1F6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style="7348" width="8.00390625" customWidth="1"/>
    <col min="8" max="12" style="7348" width="8.57421875" customWidth="1"/>
    <col min="13" max="14" style="7348" width="27.7109375" customWidth="1"/>
    <col min="15" max="19" style="7348" width="5.140625" customWidth="1"/>
    <col min="20" max="24" style="7348" width="27.7109375" customWidth="1"/>
    <col min="25" max="25" style="7348" width="1.8515625" customWidth="1"/>
    <col min="26" max="29" style="7348" width="27.7109375" customWidth="1"/>
    <col min="30" max="30" style="7348" width="3.8515625" customWidth="1"/>
  </cols>
  <sheetData>
    <row customHeight="1" ht="18">
      <c r="A1" s="446"/>
      <c r="B1" s="446"/>
      <c r="C1" s="446" t="s">
        <v>2033</v>
      </c>
      <c r="D1" s="446"/>
      <c r="E1" s="446"/>
      <c r="F1" s="446"/>
      <c r="G1" s="446"/>
      <c r="H1" s="446" t="s">
        <v>2034</v>
      </c>
      <c r="I1" s="446"/>
      <c r="J1" s="446"/>
      <c r="K1" s="446"/>
      <c r="L1" s="446"/>
      <c r="M1" s="446" t="s">
        <v>2035</v>
      </c>
      <c r="N1" s="446" t="s">
        <v>2036</v>
      </c>
      <c r="O1" s="446" t="s">
        <v>2037</v>
      </c>
      <c r="P1" s="446"/>
      <c r="Q1" s="446"/>
      <c r="R1" s="446"/>
      <c r="S1" s="446"/>
      <c r="T1" s="446" t="s">
        <v>2035</v>
      </c>
      <c r="U1" s="446"/>
      <c r="V1" s="446"/>
      <c r="W1" s="446"/>
      <c r="X1" s="446"/>
      <c r="Y1" s="447"/>
      <c r="Z1" s="446" t="s">
        <v>2038</v>
      </c>
      <c r="AA1" s="446"/>
      <c r="AB1" s="446"/>
      <c r="AC1" s="446"/>
      <c r="AD1" s="446"/>
    </row>
    <row customHeight="1" ht="18">
      <c r="A2" s="438"/>
      <c r="B2" s="438"/>
      <c r="C2" s="448" t="s">
        <v>830</v>
      </c>
      <c r="D2" s="448" t="s">
        <v>876</v>
      </c>
      <c r="E2" s="448" t="s">
        <v>930</v>
      </c>
      <c r="F2" s="448" t="s">
        <v>916</v>
      </c>
      <c r="G2" s="448" t="s">
        <v>1643</v>
      </c>
      <c r="H2" s="449"/>
      <c r="I2" s="449"/>
      <c r="J2" s="449"/>
      <c r="K2" s="449"/>
      <c r="L2" s="449"/>
      <c r="M2" s="449"/>
      <c r="N2" s="449"/>
      <c r="O2" s="448" t="s">
        <v>830</v>
      </c>
      <c r="P2" s="448" t="s">
        <v>876</v>
      </c>
      <c r="Q2" s="448" t="s">
        <v>916</v>
      </c>
      <c r="R2" s="448" t="s">
        <v>930</v>
      </c>
      <c r="S2" s="448" t="s">
        <v>1643</v>
      </c>
      <c r="T2" s="448" t="s">
        <v>830</v>
      </c>
      <c r="U2" s="448" t="s">
        <v>876</v>
      </c>
      <c r="V2" s="448" t="s">
        <v>916</v>
      </c>
      <c r="W2" s="448" t="s">
        <v>930</v>
      </c>
      <c r="X2" s="448" t="s">
        <v>1643</v>
      </c>
      <c r="Y2" s="448"/>
      <c r="Z2" s="448" t="s">
        <v>830</v>
      </c>
      <c r="AA2" s="3657" t="s">
        <v>876</v>
      </c>
      <c r="AB2" s="448" t="s">
        <v>916</v>
      </c>
      <c r="AC2" s="448" t="s">
        <v>930</v>
      </c>
      <c r="AD2" s="448" t="s">
        <v>1643</v>
      </c>
    </row>
    <row customHeight="1" ht="162">
      <c r="A3" s="3658" t="s">
        <v>27</v>
      </c>
      <c r="B3" s="3658"/>
      <c r="C3" s="452" t="s">
        <v>2039</v>
      </c>
      <c r="D3" s="453"/>
      <c r="E3" s="453"/>
      <c r="F3" s="454"/>
      <c r="G3" s="449"/>
      <c r="H3" s="449"/>
      <c r="I3" s="449"/>
      <c r="J3" s="449"/>
      <c r="K3" s="449"/>
      <c r="L3" s="449"/>
      <c r="M3" s="449"/>
      <c r="N3" s="365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449"/>
      <c r="P3" s="449"/>
      <c r="Q3" s="449"/>
      <c r="R3" s="449"/>
      <c r="S3" s="449"/>
      <c r="T3" s="449"/>
      <c r="U3" s="449"/>
      <c r="V3" s="449"/>
      <c r="W3" s="449"/>
      <c r="X3" s="449"/>
      <c r="Y3" s="456"/>
      <c r="Z3" s="438" t="s">
        <v>2040</v>
      </c>
      <c r="AA3" s="449" t="s">
        <v>2041</v>
      </c>
      <c r="AB3" s="438" t="s">
        <v>2042</v>
      </c>
      <c r="AC3" s="438" t="s">
        <v>2043</v>
      </c>
      <c r="AD3" s="438"/>
      <c r="AG3" s="438"/>
      <c r="AH3" s="438"/>
    </row>
    <row customHeight="1" ht="9">
      <c r="A4" s="3658"/>
      <c r="B4" s="3658"/>
      <c r="C4" s="449"/>
      <c r="D4" s="449"/>
      <c r="E4" s="449"/>
      <c r="F4" s="449"/>
      <c r="G4" s="449"/>
      <c r="H4" s="449"/>
      <c r="I4" s="449"/>
      <c r="J4" s="449"/>
      <c r="K4" s="449"/>
      <c r="L4" s="449"/>
      <c r="M4" s="449"/>
      <c r="N4" s="449"/>
      <c r="O4" s="449"/>
      <c r="P4" s="449"/>
      <c r="Q4" s="449"/>
      <c r="R4" s="449"/>
      <c r="S4" s="449"/>
      <c r="T4" s="449"/>
      <c r="U4" s="449"/>
      <c r="V4" s="449"/>
      <c r="W4" s="449"/>
      <c r="X4" s="449"/>
      <c r="Y4" s="456"/>
      <c r="Z4" s="438"/>
      <c r="AA4" s="3656"/>
      <c r="AB4" s="438"/>
      <c r="AC4" s="438"/>
      <c r="AD4" s="438"/>
    </row>
    <row customHeight="1" ht="9">
      <c r="A5" s="3658"/>
      <c r="B5" s="3658"/>
      <c r="C5" s="449"/>
      <c r="D5" s="449"/>
      <c r="E5" s="449"/>
      <c r="F5" s="449"/>
      <c r="G5" s="449"/>
      <c r="H5" s="449"/>
      <c r="I5" s="449"/>
      <c r="J5" s="449"/>
      <c r="K5" s="449"/>
      <c r="L5" s="449"/>
      <c r="M5" s="449"/>
      <c r="N5" s="449"/>
      <c r="O5" s="449"/>
      <c r="P5" s="449"/>
      <c r="Q5" s="449"/>
      <c r="R5" s="449"/>
      <c r="S5" s="449"/>
      <c r="T5" s="449"/>
      <c r="U5" s="449"/>
      <c r="V5" s="449"/>
      <c r="W5" s="449"/>
      <c r="X5" s="449"/>
      <c r="Y5" s="456"/>
      <c r="Z5" s="438"/>
      <c r="AA5" s="3656"/>
      <c r="AB5" s="438"/>
      <c r="AC5" s="438"/>
      <c r="AD5" s="438"/>
    </row>
    <row customHeight="1" ht="9">
      <c r="A6" s="3658"/>
      <c r="B6" s="3658"/>
      <c r="C6" s="449"/>
      <c r="D6" s="449"/>
      <c r="E6" s="449"/>
      <c r="F6" s="449"/>
      <c r="G6" s="449"/>
      <c r="H6" s="449"/>
      <c r="I6" s="449"/>
      <c r="J6" s="449"/>
      <c r="K6" s="449"/>
      <c r="L6" s="449"/>
      <c r="M6" s="449"/>
      <c r="N6" s="449"/>
      <c r="O6" s="449"/>
      <c r="P6" s="449"/>
      <c r="Q6" s="449"/>
      <c r="R6" s="449"/>
      <c r="S6" s="449"/>
      <c r="T6" s="449"/>
      <c r="U6" s="449"/>
      <c r="V6" s="449"/>
      <c r="W6" s="449"/>
      <c r="X6" s="449"/>
      <c r="Y6" s="456"/>
      <c r="Z6" s="438"/>
      <c r="AA6" s="3656"/>
      <c r="AB6" s="438"/>
      <c r="AC6" s="438"/>
      <c r="AD6" s="438"/>
    </row>
    <row customHeight="1" ht="9">
      <c r="A7" s="3658"/>
      <c r="B7" s="3658"/>
      <c r="C7" s="449"/>
      <c r="D7" s="449"/>
      <c r="E7" s="449"/>
      <c r="F7" s="449"/>
      <c r="G7" s="449"/>
      <c r="H7" s="449"/>
      <c r="I7" s="449"/>
      <c r="J7" s="449"/>
      <c r="K7" s="449"/>
      <c r="L7" s="449"/>
      <c r="M7" s="449"/>
      <c r="N7" s="449"/>
      <c r="O7" s="449"/>
      <c r="P7" s="449"/>
      <c r="Q7" s="449"/>
      <c r="R7" s="449"/>
      <c r="S7" s="449"/>
      <c r="T7" s="449"/>
      <c r="U7" s="449"/>
      <c r="V7" s="449"/>
      <c r="W7" s="449"/>
      <c r="X7" s="449"/>
      <c r="Y7" s="456"/>
      <c r="Z7" s="438"/>
      <c r="AA7" s="3656"/>
      <c r="AB7" s="438"/>
      <c r="AC7" s="438"/>
      <c r="AD7" s="438"/>
    </row>
    <row customHeight="1" ht="9">
      <c r="A8" s="3658"/>
      <c r="B8" s="3658"/>
      <c r="C8" s="449"/>
      <c r="D8" s="449"/>
      <c r="E8" s="449"/>
      <c r="F8" s="449"/>
      <c r="G8" s="449"/>
      <c r="H8" s="449"/>
      <c r="I8" s="449"/>
      <c r="J8" s="449"/>
      <c r="K8" s="449"/>
      <c r="L8" s="449"/>
      <c r="M8" s="449"/>
      <c r="N8" s="449"/>
      <c r="O8" s="449"/>
      <c r="P8" s="449"/>
      <c r="Q8" s="449"/>
      <c r="R8" s="449"/>
      <c r="S8" s="449"/>
      <c r="T8" s="449"/>
      <c r="U8" s="449"/>
      <c r="V8" s="449"/>
      <c r="W8" s="449"/>
      <c r="X8" s="449"/>
      <c r="Y8" s="456"/>
      <c r="Z8" s="438"/>
      <c r="AA8" s="3656"/>
      <c r="AB8" s="438"/>
      <c r="AC8" s="438"/>
      <c r="AD8" s="438"/>
    </row>
    <row customHeight="1" ht="9">
      <c r="A9" s="3658"/>
      <c r="B9" s="3658"/>
      <c r="C9" s="449"/>
      <c r="D9" s="449"/>
      <c r="E9" s="449"/>
      <c r="F9" s="449"/>
      <c r="G9" s="449"/>
      <c r="H9" s="449"/>
      <c r="I9" s="449"/>
      <c r="J9" s="449"/>
      <c r="K9" s="449"/>
      <c r="L9" s="449"/>
      <c r="M9" s="449"/>
      <c r="N9" s="449"/>
      <c r="O9" s="449"/>
      <c r="P9" s="449"/>
      <c r="Q9" s="449"/>
      <c r="R9" s="449"/>
      <c r="S9" s="449"/>
      <c r="T9" s="449"/>
      <c r="U9" s="449"/>
      <c r="V9" s="449"/>
      <c r="W9" s="449"/>
      <c r="X9" s="449"/>
      <c r="Y9" s="456"/>
      <c r="Z9" s="438"/>
      <c r="AA9" s="3656"/>
      <c r="AB9" s="438"/>
      <c r="AC9" s="438"/>
      <c r="AD9" s="438"/>
    </row>
    <row customHeight="1" ht="9">
      <c r="A10" s="3660"/>
      <c r="B10" s="3660"/>
      <c r="C10" s="3660"/>
      <c r="D10" s="3660"/>
      <c r="E10" s="3660"/>
      <c r="F10" s="3660"/>
      <c r="G10" s="3660"/>
      <c r="H10" s="3660"/>
      <c r="I10" s="3660"/>
      <c r="J10" s="3660"/>
      <c r="K10" s="3660"/>
      <c r="L10" s="3660"/>
      <c r="M10" s="3660"/>
      <c r="N10" s="3660"/>
      <c r="O10" s="3660"/>
      <c r="P10" s="3660"/>
      <c r="Q10" s="3660"/>
      <c r="R10" s="3660"/>
      <c r="S10" s="3660"/>
      <c r="T10" s="3660"/>
      <c r="U10" s="3660"/>
      <c r="V10" s="3660"/>
      <c r="W10" s="3660"/>
      <c r="X10" s="3660"/>
      <c r="Y10" s="3660"/>
      <c r="Z10" s="3660"/>
      <c r="AA10" s="3660"/>
      <c r="AB10" s="3660"/>
      <c r="AC10" s="3660"/>
      <c r="AD10" s="3660"/>
    </row>
    <row customHeight="1" ht="45">
      <c r="A11" s="3660" t="s">
        <v>33</v>
      </c>
      <c r="B11" s="3660">
        <v>1</v>
      </c>
      <c r="C11" s="458" t="s">
        <v>1581</v>
      </c>
      <c r="D11" s="458" t="s">
        <v>1577</v>
      </c>
      <c r="E11" s="458" t="s">
        <v>1676</v>
      </c>
      <c r="F11" s="458" t="s">
        <v>2044</v>
      </c>
      <c r="G11" s="458"/>
      <c r="H11" s="446" t="s">
        <v>2045</v>
      </c>
      <c r="I11" s="446"/>
      <c r="J11" s="446"/>
      <c r="K11" s="446"/>
      <c r="L11" s="446"/>
      <c r="M11" s="3659" t="str">
        <f>IF(TEMPLATE_SPHERE="HEAT",T11,U11)</f>
        <v>Количество поданных заявлений </v>
      </c>
      <c r="N11" s="365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449"/>
      <c r="P11" s="449"/>
      <c r="Q11" s="449"/>
      <c r="R11" s="449"/>
      <c r="S11" s="449"/>
      <c r="T11" s="449" t="s">
        <v>2046</v>
      </c>
      <c r="U11" s="449" t="s">
        <v>2047</v>
      </c>
      <c r="V11" s="449"/>
      <c r="W11" s="449"/>
      <c r="X11" s="449"/>
      <c r="Y11" s="456"/>
      <c r="Z11" s="438" t="s">
        <v>2048</v>
      </c>
      <c r="AA11" s="36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438"/>
      <c r="AC11" s="438"/>
      <c r="AD11" s="438"/>
    </row>
    <row customHeight="1" ht="45">
      <c r="A12" s="3660"/>
      <c r="B12" s="3660">
        <v>2</v>
      </c>
      <c r="C12" s="459"/>
      <c r="D12" s="459"/>
      <c r="E12" s="459"/>
      <c r="F12" s="459"/>
      <c r="G12" s="459"/>
      <c r="H12" s="446" t="s">
        <v>2049</v>
      </c>
      <c r="I12" s="446"/>
      <c r="J12" s="446"/>
      <c r="K12" s="446"/>
      <c r="L12" s="446"/>
      <c r="M12" s="3659" t="str">
        <f>IF(TEMPLATE_SPHERE="HEAT",T12,U12)</f>
        <v>Количество исполненных заявлений </v>
      </c>
      <c r="N12" s="365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449"/>
      <c r="P12" s="449"/>
      <c r="Q12" s="449"/>
      <c r="R12" s="449"/>
      <c r="S12" s="449"/>
      <c r="T12" s="449" t="s">
        <v>2050</v>
      </c>
      <c r="U12" s="449" t="s">
        <v>2051</v>
      </c>
      <c r="V12" s="449"/>
      <c r="W12" s="449"/>
      <c r="X12" s="449"/>
      <c r="Y12" s="456"/>
      <c r="Z12" s="438" t="s">
        <v>2052</v>
      </c>
      <c r="AA12" s="36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438"/>
      <c r="AC12" s="438"/>
      <c r="AD12" s="438"/>
    </row>
    <row customHeight="1" ht="72">
      <c r="A13" s="3660"/>
      <c r="B13" s="3660">
        <v>3</v>
      </c>
      <c r="C13" s="459"/>
      <c r="D13" s="459"/>
      <c r="E13" s="459"/>
      <c r="F13" s="459"/>
      <c r="G13" s="459"/>
      <c r="H13" s="446" t="s">
        <v>2053</v>
      </c>
      <c r="I13" s="446"/>
      <c r="J13" s="446"/>
      <c r="K13" s="446"/>
      <c r="L13" s="446"/>
      <c r="M13" s="365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365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449"/>
      <c r="P13" s="3659"/>
      <c r="Q13" s="3659"/>
      <c r="R13" s="3659"/>
      <c r="S13" s="449"/>
      <c r="T13" s="449" t="s">
        <v>2054</v>
      </c>
      <c r="U13" s="3659" t="s">
        <v>2055</v>
      </c>
      <c r="V13" s="3659"/>
      <c r="W13" s="3659"/>
      <c r="X13" s="449"/>
      <c r="Y13" s="456"/>
      <c r="Z13" s="438" t="s">
        <v>2056</v>
      </c>
      <c r="AA13" s="36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438"/>
      <c r="AC13" s="438"/>
      <c r="AD13" s="438"/>
    </row>
    <row customHeight="1" ht="45">
      <c r="A14" s="3660"/>
      <c r="B14" s="3660">
        <v>4</v>
      </c>
      <c r="C14" s="459"/>
      <c r="D14" s="459"/>
      <c r="E14" s="459"/>
      <c r="F14" s="459"/>
      <c r="G14" s="459"/>
      <c r="H14" s="446"/>
      <c r="I14" s="458"/>
      <c r="J14" s="458"/>
      <c r="K14" s="458"/>
      <c r="L14" s="458"/>
      <c r="M14" s="366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365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449"/>
      <c r="P14" s="3659"/>
      <c r="Q14" s="3659"/>
      <c r="R14" s="3659"/>
      <c r="S14" s="449"/>
      <c r="T14" s="449" t="s">
        <v>2057</v>
      </c>
      <c r="U14" s="36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3659"/>
      <c r="W14" s="3659"/>
      <c r="X14" s="449"/>
      <c r="Y14" s="456"/>
      <c r="Z14" s="438" t="s">
        <v>2058</v>
      </c>
      <c r="AA14" s="3656" t="s">
        <v>2058</v>
      </c>
      <c r="AB14" s="438"/>
      <c r="AC14" s="438"/>
      <c r="AD14" s="438"/>
    </row>
    <row customHeight="1" ht="108">
      <c r="A15" s="3660"/>
      <c r="B15" s="3660">
        <v>5</v>
      </c>
      <c r="C15" s="459"/>
      <c r="D15" s="459"/>
      <c r="E15" s="459"/>
      <c r="F15" s="459"/>
      <c r="G15" s="459"/>
      <c r="H15" s="461" t="s">
        <v>2059</v>
      </c>
      <c r="I15" s="461"/>
      <c r="J15" s="461"/>
      <c r="K15" s="461"/>
      <c r="L15" s="461"/>
      <c r="M15" s="365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366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449"/>
      <c r="P15" s="3659"/>
      <c r="Q15" s="3659"/>
      <c r="R15" s="3659"/>
      <c r="S15" s="449"/>
      <c r="T15" s="449" t="s">
        <v>2060</v>
      </c>
      <c r="U15" s="36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3659"/>
      <c r="W15" s="3659"/>
      <c r="X15" s="449"/>
      <c r="Y15" s="456"/>
      <c r="Z15" s="438" t="s">
        <v>2061</v>
      </c>
      <c r="AA15" s="36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438"/>
      <c r="AC15" s="438"/>
      <c r="AD15" s="438"/>
    </row>
    <row customHeight="1" ht="108">
      <c r="A16" s="3660"/>
      <c r="B16" s="3660">
        <v>6</v>
      </c>
      <c r="C16" s="463"/>
      <c r="D16" s="463"/>
      <c r="E16" s="463"/>
      <c r="F16" s="463"/>
      <c r="G16" s="463"/>
      <c r="H16" s="464"/>
      <c r="I16" s="465"/>
      <c r="J16" s="465"/>
      <c r="K16" s="465"/>
      <c r="L16" s="465"/>
      <c r="M16" s="3663"/>
      <c r="N16" s="366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449"/>
      <c r="P16" s="3659"/>
      <c r="Q16" s="3659"/>
      <c r="R16" s="3659"/>
      <c r="S16" s="449"/>
      <c r="T16" s="449"/>
      <c r="U16" s="3659"/>
      <c r="V16" s="3659"/>
      <c r="W16" s="3659"/>
      <c r="X16" s="449"/>
      <c r="Y16" s="456"/>
      <c r="Z16" s="438" t="s">
        <v>2061</v>
      </c>
      <c r="AA16" s="36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438"/>
      <c r="AC16" s="438"/>
      <c r="AD16" s="438"/>
    </row>
    <row customHeight="1" ht="9">
      <c r="A17" s="3660"/>
      <c r="B17" s="3660"/>
      <c r="C17" s="3660">
        <v>22</v>
      </c>
      <c r="D17" s="3660">
        <v>21</v>
      </c>
      <c r="E17" s="3660">
        <v>42</v>
      </c>
      <c r="F17" s="3660">
        <v>63</v>
      </c>
      <c r="G17" s="3660"/>
      <c r="H17" s="3660"/>
      <c r="I17" s="3660"/>
      <c r="J17" s="3660"/>
      <c r="K17" s="3660"/>
      <c r="L17" s="3660"/>
      <c r="M17" s="3660"/>
      <c r="N17" s="3660"/>
      <c r="O17" s="3660"/>
      <c r="P17" s="3660"/>
      <c r="Q17" s="3660"/>
      <c r="R17" s="3660"/>
      <c r="S17" s="3660"/>
      <c r="T17" s="3660"/>
      <c r="U17" s="3660"/>
      <c r="V17" s="3660"/>
      <c r="W17" s="3660"/>
      <c r="X17" s="3660"/>
      <c r="Y17" s="3660"/>
      <c r="Z17" s="3660"/>
      <c r="AA17" s="3660"/>
      <c r="AB17" s="3660"/>
      <c r="AC17" s="3660"/>
      <c r="AD17" s="3660"/>
    </row>
    <row customHeight="1" ht="27">
      <c r="A18" s="3658" t="s">
        <v>1679</v>
      </c>
      <c r="B18" s="3660">
        <v>1</v>
      </c>
      <c r="C18" s="449" t="s">
        <v>2045</v>
      </c>
      <c r="D18" s="467" t="s">
        <v>2045</v>
      </c>
      <c r="E18" s="449" t="s">
        <v>2045</v>
      </c>
      <c r="F18" s="449" t="s">
        <v>2045</v>
      </c>
      <c r="G18" s="449"/>
      <c r="H18" s="3664"/>
      <c r="I18" s="3665">
        <f>INDEX(TEMPLATE_NUMBER_POINT_FHD,B18,MATCH(TEMPLATE_SPHERE,TEMPLATE_SPHERE_LIST_FOR_NOTE,0))</f>
        <v>1</v>
      </c>
      <c r="J18" s="3665" t="str">
        <f>INDEX(TEMPLATE_DATA_POINT_FHD,B18,MATCH(TEMPLATE_SPHERE,TEMPLATE_SPHERE_LIST_FOR_NOTE,0))</f>
        <v>Выручка от регулируемых видов деятельности в сфере горячего водоснабжения</v>
      </c>
      <c r="K18" s="3665" t="str">
        <f>INDEX(TEMPLATE_NOTE_POINT_FHD,B18,MATCH(TEMPLATE_SPHERE,TEMPLATE_SPHERE_LIST_FOR_NOTE,0))</f>
        <v>Указывается выручка с распределением по видам деятельности.</v>
      </c>
      <c r="L18" s="3659">
        <f>IF(I18=0,"",I18)</f>
        <v>1</v>
      </c>
      <c r="M18" s="3659" t="str">
        <f>IF(J18=0,"",J18)</f>
        <v>Выручка от регулируемых видов деятельности в сфере горячего водоснабжения</v>
      </c>
      <c r="N18" s="3659" t="str">
        <f>IF(K18=0,"",K18)</f>
        <v>Указывается выручка с распределением по видам деятельности.</v>
      </c>
      <c r="O18" s="470">
        <v>1</v>
      </c>
      <c r="P18" s="470">
        <v>1</v>
      </c>
      <c r="Q18" s="470">
        <v>1</v>
      </c>
      <c r="R18" s="470">
        <v>1</v>
      </c>
      <c r="S18" s="470"/>
      <c r="T18" s="3666" t="s">
        <v>2062</v>
      </c>
      <c r="U18" s="438" t="s">
        <v>2063</v>
      </c>
      <c r="V18" s="438" t="s">
        <v>2064</v>
      </c>
      <c r="W18" s="438" t="s">
        <v>2065</v>
      </c>
      <c r="X18" s="449"/>
      <c r="Y18" s="456"/>
      <c r="Z18" s="438" t="s">
        <v>2066</v>
      </c>
      <c r="AA18" s="3656" t="s">
        <v>2067</v>
      </c>
      <c r="AB18" s="3656" t="s">
        <v>2067</v>
      </c>
      <c r="AC18" s="3656" t="s">
        <v>2067</v>
      </c>
      <c r="AD18" s="438"/>
    </row>
    <row customHeight="1" ht="36">
      <c r="A19" s="3658"/>
      <c r="B19" s="3660">
        <v>2</v>
      </c>
      <c r="C19" s="449" t="s">
        <v>2049</v>
      </c>
      <c r="D19" s="467" t="s">
        <v>2049</v>
      </c>
      <c r="E19" s="449" t="s">
        <v>2049</v>
      </c>
      <c r="F19" s="449" t="s">
        <v>2049</v>
      </c>
      <c r="G19" s="449"/>
      <c r="H19" s="3664"/>
      <c r="I19" s="3665">
        <f>INDEX(TEMPLATE_NUMBER_POINT_FHD,B19,MATCH(TEMPLATE_SPHERE,TEMPLATE_SPHERE_LIST_FOR_NOTE,0))</f>
        <v>2</v>
      </c>
      <c r="J19" s="366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3665" t="str">
        <f>INDEX(TEMPLATE_NOTE_POINT_FHD,B19,MATCH(TEMPLATE_SPHERE,TEMPLATE_SPHERE_LIST_FOR_NOTE,0))</f>
        <v>Указывается суммарная себестоимость производимых товаров.</v>
      </c>
      <c r="L19" s="3659">
        <f>IF(I19=0,"",I19)</f>
        <v>2</v>
      </c>
      <c r="M19" s="3659" t="str">
        <f>IF(J19=0,"",J19)</f>
        <v>Себестоимость производимых товаров (оказываемых услуг) по регулируемым видам деятельности в сфере горячего водоснабжения, включая:</v>
      </c>
      <c r="N19" s="3659" t="str">
        <f>IF(K19=0,"",K19)</f>
        <v>Указывается суммарная себестоимость производимых товаров.</v>
      </c>
      <c r="O19" s="470">
        <v>2</v>
      </c>
      <c r="P19" s="470">
        <v>2</v>
      </c>
      <c r="Q19" s="470">
        <v>2</v>
      </c>
      <c r="R19" s="470">
        <v>2</v>
      </c>
      <c r="S19" s="470"/>
      <c r="T19" s="3666" t="s">
        <v>2068</v>
      </c>
      <c r="U19" s="438" t="s">
        <v>2069</v>
      </c>
      <c r="V19" s="438" t="s">
        <v>2070</v>
      </c>
      <c r="W19" s="438" t="s">
        <v>2071</v>
      </c>
      <c r="X19" s="449"/>
      <c r="Y19" s="456"/>
      <c r="Z19" s="438" t="s">
        <v>2072</v>
      </c>
      <c r="AA19" s="3656" t="s">
        <v>2072</v>
      </c>
      <c r="AB19" s="3656" t="s">
        <v>2072</v>
      </c>
      <c r="AC19" s="3656" t="s">
        <v>2072</v>
      </c>
      <c r="AD19" s="438"/>
    </row>
    <row customHeight="1" ht="27">
      <c r="A20" s="3658"/>
      <c r="B20" s="3660">
        <v>3</v>
      </c>
      <c r="C20" s="449">
        <v>1</v>
      </c>
      <c r="D20" s="467"/>
      <c r="E20" s="449"/>
      <c r="F20" s="449"/>
      <c r="G20" s="449"/>
      <c r="H20" s="3664"/>
      <c r="I20" s="3665" t="str">
        <f>INDEX(TEMPLATE_NUMBER_POINT_FHD,B20,MATCH(TEMPLATE_SPHERE,TEMPLATE_SPHERE_LIST_FOR_NOTE,0))</f>
        <v>2.1</v>
      </c>
      <c r="J20" s="3665" t="str">
        <f>INDEX(TEMPLATE_DATA_POINT_FHD,B20,MATCH(TEMPLATE_SPHERE,TEMPLATE_SPHERE_LIST_FOR_NOTE,0))</f>
        <v>Расходы на приобретаемую тепловую энергию (мощность), используемую для горячего водоснабжения</v>
      </c>
      <c r="K20" s="3665">
        <f>INDEX(TEMPLATE_NOTE_POINT_FHD,B20,MATCH(TEMPLATE_SPHERE,TEMPLATE_SPHERE_LIST_FOR_NOTE,0))</f>
        <v>0</v>
      </c>
      <c r="L20" s="3659" t="str">
        <f>IF(I20=0,"",I20)</f>
        <v>2.1</v>
      </c>
      <c r="M20" s="3659" t="str">
        <f>IF(J20=0,"",J20)</f>
        <v>Расходы на приобретаемую тепловую энергию (мощность), используемую для горячего водоснабжения</v>
      </c>
      <c r="N20" s="3659" t="str">
        <f>IF(K20=0,"",K20)</f>
        <v/>
      </c>
      <c r="O20" s="470" t="s">
        <v>732</v>
      </c>
      <c r="P20" s="470" t="s">
        <v>732</v>
      </c>
      <c r="Q20" s="470" t="s">
        <v>732</v>
      </c>
      <c r="R20" s="470" t="s">
        <v>732</v>
      </c>
      <c r="S20" s="470"/>
      <c r="T20" s="3666" t="s">
        <v>2073</v>
      </c>
      <c r="U20" s="438" t="s">
        <v>2074</v>
      </c>
      <c r="V20" s="438" t="s">
        <v>2075</v>
      </c>
      <c r="W20" s="438" t="s">
        <v>2076</v>
      </c>
      <c r="X20" s="449"/>
      <c r="Y20" s="456"/>
      <c r="Z20" s="438"/>
      <c r="AA20" s="3656"/>
      <c r="AB20" s="438"/>
      <c r="AC20" s="438"/>
      <c r="AD20" s="438"/>
    </row>
    <row customHeight="1" ht="36">
      <c r="A21" s="3658"/>
      <c r="B21" s="3660">
        <v>4</v>
      </c>
      <c r="C21" s="449">
        <v>2</v>
      </c>
      <c r="D21" s="467"/>
      <c r="E21" s="449"/>
      <c r="F21" s="449"/>
      <c r="G21" s="449"/>
      <c r="H21" s="3664"/>
      <c r="I21" s="3665">
        <f>INDEX(TEMPLATE_NUMBER_POINT_FHD,B21,MATCH(TEMPLATE_SPHERE,TEMPLATE_SPHERE_LIST_FOR_NOTE,0))</f>
        <v>0</v>
      </c>
      <c r="J21" s="3665">
        <f>INDEX(TEMPLATE_DATA_POINT_FHD,B21,MATCH(TEMPLATE_SPHERE,TEMPLATE_SPHERE_LIST_FOR_NOTE,0))</f>
        <v>0</v>
      </c>
      <c r="K21" s="3665">
        <f>INDEX(TEMPLATE_NOTE_POINT_FHD,B21,MATCH(TEMPLATE_SPHERE,TEMPLATE_SPHERE_LIST_FOR_NOTE,0))</f>
        <v>0</v>
      </c>
      <c r="L21" s="3659" t="str">
        <f>IF(I21=0,"",I21)</f>
        <v/>
      </c>
      <c r="M21" s="3659" t="str">
        <f>IF(J21=0,"",J21)</f>
        <v/>
      </c>
      <c r="N21" s="3659" t="str">
        <f>IF(K21=0,"",K21)</f>
        <v/>
      </c>
      <c r="O21" s="470" t="s">
        <v>322</v>
      </c>
      <c r="P21" s="470"/>
      <c r="Q21" s="470"/>
      <c r="R21" s="470"/>
      <c r="S21" s="470"/>
      <c r="T21" s="3666" t="s">
        <v>2077</v>
      </c>
      <c r="U21" s="438"/>
      <c r="V21" s="438"/>
      <c r="W21" s="438"/>
      <c r="X21" s="449"/>
      <c r="Y21" s="456"/>
      <c r="Z21" s="438" t="s">
        <v>2078</v>
      </c>
      <c r="AA21" s="3656"/>
      <c r="AB21" s="438"/>
      <c r="AC21" s="438"/>
      <c r="AD21" s="438"/>
    </row>
    <row customHeight="1" ht="36">
      <c r="A22" s="3658"/>
      <c r="B22" s="3660">
        <v>5</v>
      </c>
      <c r="C22" s="449">
        <v>3</v>
      </c>
      <c r="D22" s="467"/>
      <c r="E22" s="449"/>
      <c r="F22" s="449"/>
      <c r="G22" s="472"/>
      <c r="H22" s="3667"/>
      <c r="I22" s="3665" t="str">
        <f>INDEX(TEMPLATE_NUMBER_POINT_FHD,B22,MATCH(TEMPLATE_SPHERE,TEMPLATE_SPHERE_LIST_FOR_NOTE,0))</f>
        <v>2.2</v>
      </c>
      <c r="J22" s="366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3665">
        <f>INDEX(TEMPLATE_NOTE_POINT_FHD,B22,MATCH(TEMPLATE_SPHERE,TEMPLATE_SPHERE_LIST_FOR_NOTE,0))</f>
        <v>0</v>
      </c>
      <c r="L22" s="3659" t="str">
        <f>IF(I22=0,"",I22)</f>
        <v>2.2</v>
      </c>
      <c r="M22" s="3659" t="str">
        <f>IF(J22=0,"",J22)</f>
        <v>Расходы на тепловую энергию, производимую с применением собственных источников и используемую для горячего водоснабжения</v>
      </c>
      <c r="N22" s="3659" t="str">
        <f>IF(K22=0,"",K22)</f>
        <v/>
      </c>
      <c r="O22" s="470"/>
      <c r="P22" s="470"/>
      <c r="Q22" s="470" t="s">
        <v>322</v>
      </c>
      <c r="R22" s="470"/>
      <c r="S22" s="470"/>
      <c r="T22" s="3666"/>
      <c r="U22" s="438"/>
      <c r="V22" s="438" t="s">
        <v>2079</v>
      </c>
      <c r="W22" s="438"/>
      <c r="X22" s="449"/>
      <c r="Y22" s="456"/>
      <c r="Z22" s="438"/>
      <c r="AA22" s="3656"/>
      <c r="AB22" s="438"/>
      <c r="AC22" s="438"/>
      <c r="AD22" s="438"/>
    </row>
    <row customHeight="1" ht="27">
      <c r="A23" s="3658"/>
      <c r="B23" s="3660">
        <v>6</v>
      </c>
      <c r="C23" s="449">
        <v>4</v>
      </c>
      <c r="D23" s="467"/>
      <c r="E23" s="449"/>
      <c r="F23" s="449"/>
      <c r="G23" s="472"/>
      <c r="H23" s="3667"/>
      <c r="I23" s="3665" t="str">
        <f>INDEX(TEMPLATE_NUMBER_POINT_FHD,B23,MATCH(TEMPLATE_SPHERE,TEMPLATE_SPHERE_LIST_FOR_NOTE,0))</f>
        <v>2.3</v>
      </c>
      <c r="J23" s="3665" t="str">
        <f>INDEX(TEMPLATE_DATA_POINT_FHD,B23,MATCH(TEMPLATE_SPHERE,TEMPLATE_SPHERE_LIST_FOR_NOTE,0))</f>
        <v>Расходы на приобретаемую холодную воду, используемую для горячего водоснабжения</v>
      </c>
      <c r="K23" s="3665">
        <f>INDEX(TEMPLATE_NOTE_POINT_FHD,B23,MATCH(TEMPLATE_SPHERE,TEMPLATE_SPHERE_LIST_FOR_NOTE,0))</f>
        <v>0</v>
      </c>
      <c r="L23" s="3659" t="str">
        <f>IF(I23=0,"",I23)</f>
        <v>2.3</v>
      </c>
      <c r="M23" s="3659" t="str">
        <f>IF(J23=0,"",J23)</f>
        <v>Расходы на приобретаемую холодную воду, используемую для горячего водоснабжения</v>
      </c>
      <c r="N23" s="3659" t="str">
        <f>IF(K23=0,"",K23)</f>
        <v/>
      </c>
      <c r="O23" s="470"/>
      <c r="P23" s="470"/>
      <c r="Q23" s="470" t="s">
        <v>325</v>
      </c>
      <c r="R23" s="470"/>
      <c r="S23" s="470"/>
      <c r="T23" s="3666"/>
      <c r="U23" s="438"/>
      <c r="V23" s="438" t="s">
        <v>2080</v>
      </c>
      <c r="W23" s="438"/>
      <c r="X23" s="449"/>
      <c r="Y23" s="456"/>
      <c r="Z23" s="438"/>
      <c r="AA23" s="3656"/>
      <c r="AB23" s="438"/>
      <c r="AC23" s="438"/>
      <c r="AD23" s="438"/>
    </row>
    <row customHeight="1" ht="36">
      <c r="A24" s="3658"/>
      <c r="B24" s="3660">
        <v>7</v>
      </c>
      <c r="C24" s="449">
        <v>5</v>
      </c>
      <c r="D24" s="467"/>
      <c r="E24" s="449"/>
      <c r="F24" s="449"/>
      <c r="G24" s="472"/>
      <c r="H24" s="3667"/>
      <c r="I24" s="3665" t="str">
        <f>INDEX(TEMPLATE_NUMBER_POINT_FHD,B24,MATCH(TEMPLATE_SPHERE,TEMPLATE_SPHERE_LIST_FOR_NOTE,0))</f>
        <v>2.4</v>
      </c>
      <c r="J24" s="366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3665">
        <f>INDEX(TEMPLATE_NOTE_POINT_FHD,B24,MATCH(TEMPLATE_SPHERE,TEMPLATE_SPHERE_LIST_FOR_NOTE,0))</f>
        <v>0</v>
      </c>
      <c r="L24" s="3659" t="str">
        <f>IF(I24=0,"",I24)</f>
        <v>2.4</v>
      </c>
      <c r="M24" s="365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3659" t="str">
        <f>IF(K24=0,"",K24)</f>
        <v/>
      </c>
      <c r="O24" s="470"/>
      <c r="P24" s="470"/>
      <c r="Q24" s="470" t="s">
        <v>752</v>
      </c>
      <c r="R24" s="470"/>
      <c r="S24" s="470"/>
      <c r="T24" s="3666"/>
      <c r="U24" s="438"/>
      <c r="V24" s="438" t="s">
        <v>2081</v>
      </c>
      <c r="W24" s="438"/>
      <c r="X24" s="449"/>
      <c r="Y24" s="456"/>
      <c r="Z24" s="438"/>
      <c r="AA24" s="3656"/>
      <c r="AB24" s="438"/>
      <c r="AC24" s="438"/>
      <c r="AD24" s="438"/>
    </row>
    <row customHeight="1" ht="36">
      <c r="A25" s="3658"/>
      <c r="B25" s="3660">
        <v>8</v>
      </c>
      <c r="C25" s="449">
        <v>6</v>
      </c>
      <c r="D25" s="467"/>
      <c r="E25" s="449"/>
      <c r="F25" s="449"/>
      <c r="G25" s="472"/>
      <c r="H25" s="3667"/>
      <c r="I25" s="3665" t="str">
        <f>INDEX(TEMPLATE_NUMBER_POINT_FHD,B25,MATCH(TEMPLATE_SPHERE,TEMPLATE_SPHERE_LIST_FOR_NOTE,0))</f>
        <v>2.5</v>
      </c>
      <c r="J25" s="366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3665">
        <f>INDEX(TEMPLATE_NOTE_POINT_FHD,B25,MATCH(TEMPLATE_SPHERE,TEMPLATE_SPHERE_LIST_FOR_NOTE,0))</f>
        <v>0</v>
      </c>
      <c r="L25" s="3659" t="str">
        <f>IF(I25=0,"",I25)</f>
        <v>2.5</v>
      </c>
      <c r="M25" s="3659" t="str">
        <f>IF(J25=0,"",J25)</f>
        <v>Расходы на приобретаемую электрическую энергию (мощность), используемую в технологическом процессе</v>
      </c>
      <c r="N25" s="3659" t="str">
        <f>IF(K25=0,"",K25)</f>
        <v/>
      </c>
      <c r="O25" s="470" t="s">
        <v>325</v>
      </c>
      <c r="P25" s="470" t="s">
        <v>322</v>
      </c>
      <c r="Q25" s="470" t="s">
        <v>759</v>
      </c>
      <c r="R25" s="470" t="s">
        <v>322</v>
      </c>
      <c r="S25" s="470"/>
      <c r="T25" s="3666" t="s">
        <v>2082</v>
      </c>
      <c r="U25" s="438" t="s">
        <v>2082</v>
      </c>
      <c r="V25" s="438" t="s">
        <v>2082</v>
      </c>
      <c r="W25" s="438" t="s">
        <v>2082</v>
      </c>
      <c r="X25" s="449"/>
      <c r="Y25" s="456"/>
      <c r="Z25" s="438"/>
      <c r="AA25" s="3656"/>
      <c r="AB25" s="438"/>
      <c r="AC25" s="438"/>
      <c r="AD25" s="438"/>
    </row>
    <row customHeight="1" ht="18">
      <c r="A26" s="3658"/>
      <c r="B26" s="3660">
        <v>9</v>
      </c>
      <c r="C26" s="449" t="s">
        <v>676</v>
      </c>
      <c r="D26" s="467"/>
      <c r="E26" s="449"/>
      <c r="F26" s="449"/>
      <c r="G26" s="472"/>
      <c r="H26" s="3667"/>
      <c r="I26" s="3665" t="str">
        <f>INDEX(TEMPLATE_NUMBER_POINT_FHD,B26,MATCH(TEMPLATE_SPHERE,TEMPLATE_SPHERE_LIST_FOR_NOTE,0))</f>
        <v>2.5.1</v>
      </c>
      <c r="J26" s="3665" t="str">
        <f>INDEX(TEMPLATE_DATA_POINT_FHD,B26,MATCH(TEMPLATE_SPHERE,TEMPLATE_SPHERE_LIST_FOR_NOTE,0))</f>
        <v>Средневзвешенная стоимость 1 кВт.ч (с учетом мощности)</v>
      </c>
      <c r="K26" s="3665">
        <f>INDEX(TEMPLATE_NOTE_POINT_FHD,B26,MATCH(TEMPLATE_SPHERE,TEMPLATE_SPHERE_LIST_FOR_NOTE,0))</f>
        <v>0</v>
      </c>
      <c r="L26" s="3659" t="str">
        <f>IF(I26=0,"",I26)</f>
        <v>2.5.1</v>
      </c>
      <c r="M26" s="3659" t="str">
        <f>IF(J26=0,"",J26)</f>
        <v>Средневзвешенная стоимость 1 кВт.ч (с учетом мощности)</v>
      </c>
      <c r="N26" s="3659" t="str">
        <f>IF(K26=0,"",K26)</f>
        <v/>
      </c>
      <c r="O26" s="470" t="s">
        <v>748</v>
      </c>
      <c r="P26" s="470" t="s">
        <v>742</v>
      </c>
      <c r="Q26" s="470" t="s">
        <v>2083</v>
      </c>
      <c r="R26" s="470" t="s">
        <v>742</v>
      </c>
      <c r="S26" s="470"/>
      <c r="T26" s="3666" t="str">
        <f>"Средневзвешенная стоимость 1 кВт.ч"&amp;IF(TITLE_TYPE_ORG="Регулируемая организация"," (с учетом мощности)","")</f>
        <v>Средневзвешенная стоимость 1 кВт.ч</v>
      </c>
      <c r="U26" s="3666" t="s">
        <v>2084</v>
      </c>
      <c r="V26" s="3666" t="s">
        <v>2084</v>
      </c>
      <c r="W26" s="3666" t="s">
        <v>2084</v>
      </c>
      <c r="X26" s="449"/>
      <c r="Y26" s="456"/>
      <c r="Z26" s="438"/>
      <c r="AA26" s="3656"/>
      <c r="AB26" s="438"/>
      <c r="AC26" s="438"/>
      <c r="AD26" s="438"/>
    </row>
    <row customHeight="1" ht="18">
      <c r="A27" s="3658"/>
      <c r="B27" s="3660">
        <v>10</v>
      </c>
      <c r="C27" s="449" t="s">
        <v>680</v>
      </c>
      <c r="D27" s="467"/>
      <c r="E27" s="449"/>
      <c r="F27" s="449"/>
      <c r="G27" s="472"/>
      <c r="H27" s="3667"/>
      <c r="I27" s="3665" t="str">
        <f>INDEX(TEMPLATE_NUMBER_POINT_FHD,B27,MATCH(TEMPLATE_SPHERE,TEMPLATE_SPHERE_LIST_FOR_NOTE,0))</f>
        <v>2.5.2</v>
      </c>
      <c r="J27" s="3665" t="str">
        <f>INDEX(TEMPLATE_DATA_POINT_FHD,B27,MATCH(TEMPLATE_SPHERE,TEMPLATE_SPHERE_LIST_FOR_NOTE,0))</f>
        <v>Объём приобретения электрической энергии</v>
      </c>
      <c r="K27" s="3665">
        <f>INDEX(TEMPLATE_NOTE_POINT_FHD,B27,MATCH(TEMPLATE_SPHERE,TEMPLATE_SPHERE_LIST_FOR_NOTE,0))</f>
        <v>0</v>
      </c>
      <c r="L27" s="3659" t="str">
        <f>IF(I27=0,"",I27)</f>
        <v>2.5.2</v>
      </c>
      <c r="M27" s="3659" t="str">
        <f>IF(J27=0,"",J27)</f>
        <v>Объём приобретения электрической энергии</v>
      </c>
      <c r="N27" s="3659" t="str">
        <f>IF(K27=0,"",K27)</f>
        <v/>
      </c>
      <c r="O27" s="470" t="s">
        <v>750</v>
      </c>
      <c r="P27" s="470" t="s">
        <v>744</v>
      </c>
      <c r="Q27" s="470" t="s">
        <v>2085</v>
      </c>
      <c r="R27" s="470" t="s">
        <v>744</v>
      </c>
      <c r="S27" s="470"/>
      <c r="T27" s="3666" t="s">
        <v>2086</v>
      </c>
      <c r="U27" s="3666" t="s">
        <v>2086</v>
      </c>
      <c r="V27" s="3666" t="s">
        <v>2086</v>
      </c>
      <c r="W27" s="3666" t="s">
        <v>2086</v>
      </c>
      <c r="X27" s="449"/>
      <c r="Y27" s="456"/>
      <c r="Z27" s="438"/>
      <c r="AA27" s="3656"/>
      <c r="AB27" s="438"/>
      <c r="AC27" s="438"/>
      <c r="AD27" s="438"/>
    </row>
    <row customHeight="1" ht="27">
      <c r="A28" s="3658"/>
      <c r="B28" s="3660">
        <v>11</v>
      </c>
      <c r="C28" s="449">
        <v>7</v>
      </c>
      <c r="D28" s="467"/>
      <c r="E28" s="449"/>
      <c r="F28" s="449"/>
      <c r="G28" s="472"/>
      <c r="H28" s="3667"/>
      <c r="I28" s="3665">
        <f>INDEX(TEMPLATE_NUMBER_POINT_FHD,B28,MATCH(TEMPLATE_SPHERE,TEMPLATE_SPHERE_LIST_FOR_NOTE,0))</f>
        <v>0</v>
      </c>
      <c r="J28" s="3665">
        <f>INDEX(TEMPLATE_DATA_POINT_FHD,B28,MATCH(TEMPLATE_SPHERE,TEMPLATE_SPHERE_LIST_FOR_NOTE,0))</f>
        <v>0</v>
      </c>
      <c r="K28" s="3665">
        <f>INDEX(TEMPLATE_NOTE_POINT_FHD,B28,MATCH(TEMPLATE_SPHERE,TEMPLATE_SPHERE_LIST_FOR_NOTE,0))</f>
        <v>0</v>
      </c>
      <c r="L28" s="3659" t="str">
        <f>IF(I28=0,"",I28)</f>
        <v/>
      </c>
      <c r="M28" s="3659" t="str">
        <f>IF(J28=0,"",J28)</f>
        <v/>
      </c>
      <c r="N28" s="3659" t="str">
        <f>IF(K28=0,"",K28)</f>
        <v/>
      </c>
      <c r="O28" s="470" t="s">
        <v>752</v>
      </c>
      <c r="P28" s="470"/>
      <c r="Q28" s="470"/>
      <c r="R28" s="470"/>
      <c r="S28" s="470"/>
      <c r="T28" s="3666" t="s">
        <v>2087</v>
      </c>
      <c r="U28" s="438"/>
      <c r="V28" s="438"/>
      <c r="W28" s="438"/>
      <c r="X28" s="449"/>
      <c r="Y28" s="456"/>
      <c r="Z28" s="438"/>
      <c r="AA28" s="3656"/>
      <c r="AB28" s="438"/>
      <c r="AC28" s="438"/>
      <c r="AD28" s="438"/>
    </row>
    <row customHeight="1" ht="27">
      <c r="A29" s="3658"/>
      <c r="B29" s="3660">
        <v>12</v>
      </c>
      <c r="C29" s="449">
        <v>8</v>
      </c>
      <c r="D29" s="467"/>
      <c r="E29" s="449"/>
      <c r="F29" s="449"/>
      <c r="G29" s="472"/>
      <c r="H29" s="3667"/>
      <c r="I29" s="3665">
        <f>INDEX(TEMPLATE_NUMBER_POINT_FHD,B29,MATCH(TEMPLATE_SPHERE,TEMPLATE_SPHERE_LIST_FOR_NOTE,0))</f>
        <v>0</v>
      </c>
      <c r="J29" s="3665">
        <f>INDEX(TEMPLATE_DATA_POINT_FHD,B29,MATCH(TEMPLATE_SPHERE,TEMPLATE_SPHERE_LIST_FOR_NOTE,0))</f>
        <v>0</v>
      </c>
      <c r="K29" s="3665">
        <f>INDEX(TEMPLATE_NOTE_POINT_FHD,B29,MATCH(TEMPLATE_SPHERE,TEMPLATE_SPHERE_LIST_FOR_NOTE,0))</f>
        <v>0</v>
      </c>
      <c r="L29" s="3659" t="str">
        <f>IF(I29=0,"",I29)</f>
        <v/>
      </c>
      <c r="M29" s="3659" t="str">
        <f>IF(J29=0,"",J29)</f>
        <v/>
      </c>
      <c r="N29" s="3659" t="str">
        <f>IF(K29=0,"",K29)</f>
        <v/>
      </c>
      <c r="O29" s="470" t="s">
        <v>759</v>
      </c>
      <c r="P29" s="470" t="s">
        <v>325</v>
      </c>
      <c r="Q29" s="470"/>
      <c r="R29" s="470" t="s">
        <v>325</v>
      </c>
      <c r="S29" s="470"/>
      <c r="T29" s="36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38" t="s">
        <v>2088</v>
      </c>
      <c r="V29" s="438"/>
      <c r="W29" s="438" t="s">
        <v>2088</v>
      </c>
      <c r="X29" s="449"/>
      <c r="Y29" s="456"/>
      <c r="Z29" s="438"/>
      <c r="AA29" s="3656"/>
      <c r="AB29" s="438"/>
      <c r="AC29" s="438"/>
      <c r="AD29" s="438"/>
    </row>
    <row customHeight="1" ht="54">
      <c r="A30" s="3658"/>
      <c r="B30" s="3660">
        <v>13</v>
      </c>
      <c r="C30" s="449">
        <v>9</v>
      </c>
      <c r="D30" s="467"/>
      <c r="E30" s="449"/>
      <c r="F30" s="449"/>
      <c r="G30" s="472"/>
      <c r="H30" s="3667"/>
      <c r="I30" s="3665" t="str">
        <f>INDEX(TEMPLATE_NUMBER_POINT_FHD,B30,MATCH(TEMPLATE_SPHERE,TEMPLATE_SPHERE_LIST_FOR_NOTE,0))</f>
        <v>2.6</v>
      </c>
      <c r="J30" s="366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366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3659" t="str">
        <f>IF(I30=0,"",I30)</f>
        <v>2.6</v>
      </c>
      <c r="M30" s="365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3659" t="str">
        <f>IF(K30=0,"",K30)</f>
        <v>Указывается общая сумма расходов на оплату труда и отчислений на социальные нужды основного производственного персонала.</v>
      </c>
      <c r="O30" s="470" t="s">
        <v>761</v>
      </c>
      <c r="P30" s="470" t="s">
        <v>752</v>
      </c>
      <c r="Q30" s="470" t="s">
        <v>761</v>
      </c>
      <c r="R30" s="470" t="s">
        <v>752</v>
      </c>
      <c r="S30" s="470"/>
      <c r="T30" s="3666" t="s">
        <v>2089</v>
      </c>
      <c r="U30" s="438" t="s">
        <v>2089</v>
      </c>
      <c r="V30" s="438" t="s">
        <v>2089</v>
      </c>
      <c r="W30" s="438" t="s">
        <v>2089</v>
      </c>
      <c r="X30" s="449"/>
      <c r="Y30" s="456"/>
      <c r="Z30" s="438"/>
      <c r="AA30" s="3656" t="s">
        <v>2090</v>
      </c>
      <c r="AB30" s="3656" t="s">
        <v>2090</v>
      </c>
      <c r="AC30" s="3656" t="s">
        <v>2090</v>
      </c>
      <c r="AD30" s="438"/>
    </row>
    <row customHeight="1" ht="18">
      <c r="A31" s="3658"/>
      <c r="B31" s="3660">
        <v>14</v>
      </c>
      <c r="C31" s="449" t="s">
        <v>2091</v>
      </c>
      <c r="D31" s="467"/>
      <c r="E31" s="449"/>
      <c r="F31" s="449"/>
      <c r="G31" s="472"/>
      <c r="H31" s="3667"/>
      <c r="I31" s="3665" t="str">
        <f>INDEX(TEMPLATE_NUMBER_POINT_FHD,B31,MATCH(TEMPLATE_SPHERE,TEMPLATE_SPHERE_LIST_FOR_NOTE,0))</f>
        <v>2.6.1</v>
      </c>
      <c r="J31" s="3665" t="str">
        <f>INDEX(TEMPLATE_DATA_POINT_FHD,B31,MATCH(TEMPLATE_SPHERE,TEMPLATE_SPHERE_LIST_FOR_NOTE,0))</f>
        <v>Расходы на оплату труда основного производственного персонала</v>
      </c>
      <c r="K31" s="3665">
        <f>INDEX(TEMPLATE_NOTE_POINT_FHD,B31,MATCH(TEMPLATE_SPHERE,TEMPLATE_SPHERE_LIST_FOR_NOTE,0))</f>
        <v>0</v>
      </c>
      <c r="L31" s="3659" t="str">
        <f>IF(I31=0,"",I31)</f>
        <v>2.6.1</v>
      </c>
      <c r="M31" s="3659" t="str">
        <f>IF(J31=0,"",J31)</f>
        <v>Расходы на оплату труда основного производственного персонала</v>
      </c>
      <c r="N31" s="3659" t="str">
        <f>IF(K31=0,"",K31)</f>
        <v/>
      </c>
      <c r="O31" s="470" t="s">
        <v>2092</v>
      </c>
      <c r="P31" s="470" t="s">
        <v>755</v>
      </c>
      <c r="Q31" s="470" t="s">
        <v>2092</v>
      </c>
      <c r="R31" s="470" t="s">
        <v>755</v>
      </c>
      <c r="S31" s="470"/>
      <c r="T31" s="3668" t="s">
        <v>2093</v>
      </c>
      <c r="U31" s="438" t="s">
        <v>2093</v>
      </c>
      <c r="V31" s="438" t="s">
        <v>2093</v>
      </c>
      <c r="W31" s="438" t="s">
        <v>2093</v>
      </c>
      <c r="X31" s="449"/>
      <c r="Y31" s="456"/>
      <c r="Z31" s="438"/>
      <c r="AA31" s="3656"/>
      <c r="AB31" s="3656"/>
      <c r="AC31" s="3656"/>
      <c r="AD31" s="438"/>
    </row>
    <row customHeight="1" ht="36">
      <c r="A32" s="3658"/>
      <c r="B32" s="3660">
        <v>15</v>
      </c>
      <c r="C32" s="449" t="s">
        <v>2094</v>
      </c>
      <c r="D32" s="467"/>
      <c r="E32" s="449"/>
      <c r="F32" s="449"/>
      <c r="G32" s="472"/>
      <c r="H32" s="3667"/>
      <c r="I32" s="3665" t="str">
        <f>INDEX(TEMPLATE_NUMBER_POINT_FHD,B32,MATCH(TEMPLATE_SPHERE,TEMPLATE_SPHERE_LIST_FOR_NOTE,0))</f>
        <v>2.6.2</v>
      </c>
      <c r="J32" s="366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3665">
        <f>INDEX(TEMPLATE_NOTE_POINT_FHD,B32,MATCH(TEMPLATE_SPHERE,TEMPLATE_SPHERE_LIST_FOR_NOTE,0))</f>
        <v>0</v>
      </c>
      <c r="L32" s="3659" t="str">
        <f>IF(I32=0,"",I32)</f>
        <v>2.6.2</v>
      </c>
      <c r="M32" s="3659" t="str">
        <f>IF(J32=0,"",J32)</f>
        <v>Страховые взносы на обязательное социальное страхование, выплачиваемые из фонда оплаты труда основного производственного персонала</v>
      </c>
      <c r="N32" s="3659" t="str">
        <f>IF(K32=0,"",K32)</f>
        <v/>
      </c>
      <c r="O32" s="470" t="s">
        <v>2095</v>
      </c>
      <c r="P32" s="470" t="s">
        <v>757</v>
      </c>
      <c r="Q32" s="470" t="s">
        <v>2095</v>
      </c>
      <c r="R32" s="470" t="s">
        <v>757</v>
      </c>
      <c r="S32" s="470"/>
      <c r="T32" s="36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38" t="s">
        <v>2096</v>
      </c>
      <c r="V32" s="438" t="s">
        <v>2096</v>
      </c>
      <c r="W32" s="438" t="s">
        <v>2096</v>
      </c>
      <c r="X32" s="449"/>
      <c r="Y32" s="456"/>
      <c r="Z32" s="438"/>
      <c r="AA32" s="3656"/>
      <c r="AB32" s="3656"/>
      <c r="AC32" s="3656"/>
      <c r="AD32" s="438"/>
    </row>
    <row customHeight="1" ht="45">
      <c r="A33" s="3658"/>
      <c r="B33" s="3660">
        <v>16</v>
      </c>
      <c r="C33" s="449">
        <v>10</v>
      </c>
      <c r="D33" s="467"/>
      <c r="E33" s="449"/>
      <c r="F33" s="449"/>
      <c r="G33" s="472"/>
      <c r="H33" s="3667"/>
      <c r="I33" s="3665" t="str">
        <f>INDEX(TEMPLATE_NUMBER_POINT_FHD,B33,MATCH(TEMPLATE_SPHERE,TEMPLATE_SPHERE_LIST_FOR_NOTE,0))</f>
        <v>2.7</v>
      </c>
      <c r="J33" s="366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366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3659" t="str">
        <f>IF(I33=0,"",I33)</f>
        <v>2.7</v>
      </c>
      <c r="M33" s="365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3659" t="str">
        <f>IF(K33=0,"",K33)</f>
        <v>Указывается общая сумма расходов на оплату труда и отчислений на социальные нужды административно-управленческого персонала.</v>
      </c>
      <c r="O33" s="470" t="s">
        <v>763</v>
      </c>
      <c r="P33" s="470" t="s">
        <v>759</v>
      </c>
      <c r="Q33" s="470" t="s">
        <v>763</v>
      </c>
      <c r="R33" s="470" t="s">
        <v>759</v>
      </c>
      <c r="S33" s="470"/>
      <c r="T33" s="36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38" t="s">
        <v>2097</v>
      </c>
      <c r="V33" s="438" t="s">
        <v>2097</v>
      </c>
      <c r="W33" s="438" t="s">
        <v>2098</v>
      </c>
      <c r="X33" s="449"/>
      <c r="Y33" s="456"/>
      <c r="Z33" s="438"/>
      <c r="AA33" s="3656" t="s">
        <v>2099</v>
      </c>
      <c r="AB33" s="3656" t="s">
        <v>2099</v>
      </c>
      <c r="AC33" s="3656" t="s">
        <v>2099</v>
      </c>
      <c r="AD33" s="438"/>
    </row>
    <row customHeight="1" ht="27">
      <c r="A34" s="3658"/>
      <c r="B34" s="3660">
        <v>17</v>
      </c>
      <c r="C34" s="449" t="s">
        <v>2100</v>
      </c>
      <c r="D34" s="467"/>
      <c r="E34" s="449"/>
      <c r="F34" s="449"/>
      <c r="G34" s="472"/>
      <c r="H34" s="3667"/>
      <c r="I34" s="3665" t="str">
        <f>INDEX(TEMPLATE_NUMBER_POINT_FHD,B34,MATCH(TEMPLATE_SPHERE,TEMPLATE_SPHERE_LIST_FOR_NOTE,0))</f>
        <v>2.7.1</v>
      </c>
      <c r="J34" s="3665" t="str">
        <f>INDEX(TEMPLATE_DATA_POINT_FHD,B34,MATCH(TEMPLATE_SPHERE,TEMPLATE_SPHERE_LIST_FOR_NOTE,0))</f>
        <v>Расходы на оплату труда административно-управленческого персонала</v>
      </c>
      <c r="K34" s="3665">
        <f>INDEX(TEMPLATE_NOTE_POINT_FHD,B34,MATCH(TEMPLATE_SPHERE,TEMPLATE_SPHERE_LIST_FOR_NOTE,0))</f>
        <v>0</v>
      </c>
      <c r="L34" s="3659" t="str">
        <f>IF(I34=0,"",I34)</f>
        <v>2.7.1</v>
      </c>
      <c r="M34" s="3659" t="str">
        <f>IF(J34=0,"",J34)</f>
        <v>Расходы на оплату труда административно-управленческого персонала</v>
      </c>
      <c r="N34" s="3659" t="str">
        <f>IF(K34=0,"",K34)</f>
        <v/>
      </c>
      <c r="O34" s="470" t="s">
        <v>2101</v>
      </c>
      <c r="P34" s="470" t="s">
        <v>2083</v>
      </c>
      <c r="Q34" s="470" t="s">
        <v>2101</v>
      </c>
      <c r="R34" s="470" t="s">
        <v>2083</v>
      </c>
      <c r="S34" s="470"/>
      <c r="T34" s="3669" t="s">
        <v>2102</v>
      </c>
      <c r="U34" s="438" t="s">
        <v>2102</v>
      </c>
      <c r="V34" s="438" t="s">
        <v>2102</v>
      </c>
      <c r="W34" s="438" t="s">
        <v>2103</v>
      </c>
      <c r="X34" s="449"/>
      <c r="Y34" s="456"/>
      <c r="Z34" s="438"/>
      <c r="AA34" s="3656"/>
      <c r="AB34" s="438"/>
      <c r="AC34" s="438"/>
      <c r="AD34" s="438"/>
    </row>
    <row customHeight="1" ht="45">
      <c r="A35" s="3658"/>
      <c r="B35" s="3660">
        <v>18</v>
      </c>
      <c r="C35" s="449" t="s">
        <v>2104</v>
      </c>
      <c r="D35" s="467"/>
      <c r="E35" s="449"/>
      <c r="F35" s="449"/>
      <c r="G35" s="472"/>
      <c r="H35" s="3667"/>
      <c r="I35" s="3665" t="str">
        <f>INDEX(TEMPLATE_NUMBER_POINT_FHD,B35,MATCH(TEMPLATE_SPHERE,TEMPLATE_SPHERE_LIST_FOR_NOTE,0))</f>
        <v>2.7.2</v>
      </c>
      <c r="J35" s="366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3665">
        <f>INDEX(TEMPLATE_NOTE_POINT_FHD,B35,MATCH(TEMPLATE_SPHERE,TEMPLATE_SPHERE_LIST_FOR_NOTE,0))</f>
        <v>0</v>
      </c>
      <c r="L35" s="3659" t="str">
        <f>IF(I35=0,"",I35)</f>
        <v>2.7.2</v>
      </c>
      <c r="M35" s="365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3659" t="str">
        <f>IF(K35=0,"",K35)</f>
        <v/>
      </c>
      <c r="O35" s="470" t="s">
        <v>2105</v>
      </c>
      <c r="P35" s="470" t="s">
        <v>2085</v>
      </c>
      <c r="Q35" s="470" t="s">
        <v>2105</v>
      </c>
      <c r="R35" s="470" t="s">
        <v>2085</v>
      </c>
      <c r="S35" s="470"/>
      <c r="T35" s="36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38" t="s">
        <v>2106</v>
      </c>
      <c r="V35" s="438" t="s">
        <v>2106</v>
      </c>
      <c r="W35" s="438" t="s">
        <v>2106</v>
      </c>
      <c r="X35" s="449"/>
      <c r="Y35" s="456"/>
      <c r="Z35" s="438"/>
      <c r="AA35" s="3656"/>
      <c r="AB35" s="438"/>
      <c r="AC35" s="438"/>
      <c r="AD35" s="438"/>
    </row>
    <row customHeight="1" ht="18">
      <c r="A36" s="3658"/>
      <c r="B36" s="3660">
        <v>19</v>
      </c>
      <c r="C36" s="449">
        <v>11</v>
      </c>
      <c r="D36" s="467"/>
      <c r="E36" s="449"/>
      <c r="F36" s="449"/>
      <c r="G36" s="472"/>
      <c r="H36" s="3667"/>
      <c r="I36" s="3665" t="str">
        <f>INDEX(TEMPLATE_NUMBER_POINT_FHD,B36,MATCH(TEMPLATE_SPHERE,TEMPLATE_SPHERE_LIST_FOR_NOTE,0))</f>
        <v>2.8</v>
      </c>
      <c r="J36" s="3665" t="str">
        <f>INDEX(TEMPLATE_DATA_POINT_FHD,B36,MATCH(TEMPLATE_SPHERE,TEMPLATE_SPHERE_LIST_FOR_NOTE,0))</f>
        <v>Расходы на амортизацию основных средств и нематериальных активов</v>
      </c>
      <c r="K36" s="3665">
        <f>INDEX(TEMPLATE_NOTE_POINT_FHD,B36,MATCH(TEMPLATE_SPHERE,TEMPLATE_SPHERE_LIST_FOR_NOTE,0))</f>
        <v>0</v>
      </c>
      <c r="L36" s="3659" t="str">
        <f>IF(I36=0,"",I36)</f>
        <v>2.8</v>
      </c>
      <c r="M36" s="3659" t="str">
        <f>IF(J36=0,"",J36)</f>
        <v>Расходы на амортизацию основных средств и нематериальных активов</v>
      </c>
      <c r="N36" s="3659" t="str">
        <f>IF(K36=0,"",K36)</f>
        <v/>
      </c>
      <c r="O36" s="470" t="s">
        <v>765</v>
      </c>
      <c r="P36" s="470" t="s">
        <v>761</v>
      </c>
      <c r="Q36" s="470" t="s">
        <v>765</v>
      </c>
      <c r="R36" s="470" t="s">
        <v>761</v>
      </c>
      <c r="S36" s="470"/>
      <c r="T36" s="3666" t="s">
        <v>2107</v>
      </c>
      <c r="U36" s="438" t="s">
        <v>2107</v>
      </c>
      <c r="V36" s="438" t="s">
        <v>2107</v>
      </c>
      <c r="W36" s="438" t="s">
        <v>2107</v>
      </c>
      <c r="X36" s="449"/>
      <c r="Y36" s="456"/>
      <c r="Z36" s="438"/>
      <c r="AA36" s="3656"/>
      <c r="AB36" s="438"/>
      <c r="AC36" s="438"/>
      <c r="AD36" s="438"/>
    </row>
    <row customHeight="1" ht="18">
      <c r="A37" s="3658"/>
      <c r="B37" s="3660">
        <v>20</v>
      </c>
      <c r="C37" s="449" t="s">
        <v>2108</v>
      </c>
      <c r="D37" s="467"/>
      <c r="E37" s="449"/>
      <c r="F37" s="449"/>
      <c r="G37" s="472"/>
      <c r="H37" s="3667"/>
      <c r="I37" s="3665" t="str">
        <f>INDEX(TEMPLATE_NUMBER_POINT_FHD,B37,MATCH(TEMPLATE_SPHERE,TEMPLATE_SPHERE_LIST_FOR_NOTE,0))</f>
        <v>2.8.1</v>
      </c>
      <c r="J37" s="3665" t="str">
        <f>INDEX(TEMPLATE_DATA_POINT_FHD,B37,MATCH(TEMPLATE_SPHERE,TEMPLATE_SPHERE_LIST_FOR_NOTE,0))</f>
        <v>Расходы на амортизацию основных средств</v>
      </c>
      <c r="K37" s="3665">
        <f>INDEX(TEMPLATE_NOTE_POINT_FHD,B37,MATCH(TEMPLATE_SPHERE,TEMPLATE_SPHERE_LIST_FOR_NOTE,0))</f>
        <v>0</v>
      </c>
      <c r="L37" s="3659" t="str">
        <f>IF(I37=0,"",I37)</f>
        <v>2.8.1</v>
      </c>
      <c r="M37" s="3659" t="str">
        <f>IF(J37=0,"",J37)</f>
        <v>Расходы на амортизацию основных средств</v>
      </c>
      <c r="N37" s="3659" t="str">
        <f>IF(K37=0,"",K37)</f>
        <v/>
      </c>
      <c r="O37" s="470" t="s">
        <v>2109</v>
      </c>
      <c r="P37" s="470" t="s">
        <v>2092</v>
      </c>
      <c r="Q37" s="470" t="s">
        <v>2109</v>
      </c>
      <c r="R37" s="470" t="s">
        <v>2092</v>
      </c>
      <c r="S37" s="470"/>
      <c r="T37" s="3666" t="s">
        <v>2110</v>
      </c>
      <c r="U37" s="438" t="s">
        <v>2110</v>
      </c>
      <c r="V37" s="438" t="s">
        <v>2110</v>
      </c>
      <c r="W37" s="438" t="s">
        <v>2110</v>
      </c>
      <c r="X37" s="449"/>
      <c r="Y37" s="456"/>
      <c r="Z37" s="438"/>
      <c r="AA37" s="3656"/>
      <c r="AB37" s="438"/>
      <c r="AC37" s="438"/>
      <c r="AD37" s="438"/>
    </row>
    <row customHeight="1" ht="18">
      <c r="A38" s="3658"/>
      <c r="B38" s="3660">
        <v>21</v>
      </c>
      <c r="C38" s="449" t="s">
        <v>2111</v>
      </c>
      <c r="D38" s="467"/>
      <c r="E38" s="449"/>
      <c r="F38" s="449"/>
      <c r="G38" s="472"/>
      <c r="H38" s="3667"/>
      <c r="I38" s="3665" t="str">
        <f>INDEX(TEMPLATE_NUMBER_POINT_FHD,B38,MATCH(TEMPLATE_SPHERE,TEMPLATE_SPHERE_LIST_FOR_NOTE,0))</f>
        <v>2.8.2</v>
      </c>
      <c r="J38" s="3665" t="str">
        <f>INDEX(TEMPLATE_DATA_POINT_FHD,B38,MATCH(TEMPLATE_SPHERE,TEMPLATE_SPHERE_LIST_FOR_NOTE,0))</f>
        <v>Расходы на амортизацию нематериальных активов</v>
      </c>
      <c r="K38" s="3665">
        <f>INDEX(TEMPLATE_NOTE_POINT_FHD,B38,MATCH(TEMPLATE_SPHERE,TEMPLATE_SPHERE_LIST_FOR_NOTE,0))</f>
        <v>0</v>
      </c>
      <c r="L38" s="3659" t="str">
        <f>IF(I38=0,"",I38)</f>
        <v>2.8.2</v>
      </c>
      <c r="M38" s="3659" t="str">
        <f>IF(J38=0,"",J38)</f>
        <v>Расходы на амортизацию нематериальных активов</v>
      </c>
      <c r="N38" s="3659" t="str">
        <f>IF(K38=0,"",K38)</f>
        <v/>
      </c>
      <c r="O38" s="470" t="s">
        <v>2112</v>
      </c>
      <c r="P38" s="470" t="s">
        <v>2095</v>
      </c>
      <c r="Q38" s="470" t="s">
        <v>2112</v>
      </c>
      <c r="R38" s="470" t="s">
        <v>2095</v>
      </c>
      <c r="S38" s="470"/>
      <c r="T38" s="3666" t="s">
        <v>2113</v>
      </c>
      <c r="U38" s="438" t="s">
        <v>2113</v>
      </c>
      <c r="V38" s="438" t="s">
        <v>2113</v>
      </c>
      <c r="W38" s="438" t="s">
        <v>2113</v>
      </c>
      <c r="X38" s="449"/>
      <c r="Y38" s="456"/>
      <c r="Z38" s="438"/>
      <c r="AA38" s="3656"/>
      <c r="AB38" s="438"/>
      <c r="AC38" s="438"/>
      <c r="AD38" s="438"/>
    </row>
    <row customHeight="1" ht="36">
      <c r="A39" s="3658"/>
      <c r="B39" s="3660">
        <v>22</v>
      </c>
      <c r="C39" s="449">
        <v>12</v>
      </c>
      <c r="D39" s="467"/>
      <c r="E39" s="449"/>
      <c r="F39" s="449"/>
      <c r="G39" s="472"/>
      <c r="H39" s="3667"/>
      <c r="I39" s="3665" t="str">
        <f>INDEX(TEMPLATE_NUMBER_POINT_FHD,B39,MATCH(TEMPLATE_SPHERE,TEMPLATE_SPHERE_LIST_FOR_NOTE,0))</f>
        <v>2.9</v>
      </c>
      <c r="J39" s="366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3665">
        <f>INDEX(TEMPLATE_NOTE_POINT_FHD,B39,MATCH(TEMPLATE_SPHERE,TEMPLATE_SPHERE_LIST_FOR_NOTE,0))</f>
        <v>0</v>
      </c>
      <c r="L39" s="3659" t="str">
        <f>IF(I39=0,"",I39)</f>
        <v>2.9</v>
      </c>
      <c r="M39" s="3659" t="str">
        <f>IF(J39=0,"",J39)</f>
        <v>Расходы на аренду имущества, используемого для осуществления регулируемых видов деятельности в сфере горячего водоснабжения</v>
      </c>
      <c r="N39" s="3659" t="str">
        <f>IF(K39=0,"",K39)</f>
        <v/>
      </c>
      <c r="O39" s="470" t="s">
        <v>769</v>
      </c>
      <c r="P39" s="470" t="s">
        <v>763</v>
      </c>
      <c r="Q39" s="470" t="s">
        <v>769</v>
      </c>
      <c r="R39" s="470" t="s">
        <v>763</v>
      </c>
      <c r="S39" s="470"/>
      <c r="T39" s="3666" t="s">
        <v>2114</v>
      </c>
      <c r="U39" s="438" t="s">
        <v>2115</v>
      </c>
      <c r="V39" s="438" t="s">
        <v>2116</v>
      </c>
      <c r="W39" s="438" t="s">
        <v>2117</v>
      </c>
      <c r="X39" s="449"/>
      <c r="Y39" s="456"/>
      <c r="Z39" s="438"/>
      <c r="AA39" s="3656"/>
      <c r="AB39" s="438"/>
      <c r="AC39" s="438"/>
      <c r="AD39" s="438"/>
    </row>
    <row customHeight="1" ht="18">
      <c r="A40" s="3658"/>
      <c r="B40" s="3660">
        <v>23</v>
      </c>
      <c r="C40" s="449">
        <v>13</v>
      </c>
      <c r="D40" s="467"/>
      <c r="E40" s="449"/>
      <c r="F40" s="449"/>
      <c r="G40" s="449"/>
      <c r="H40" s="476"/>
      <c r="I40" s="3665" t="str">
        <f>INDEX(TEMPLATE_NUMBER_POINT_FHD,B40,MATCH(TEMPLATE_SPHERE,TEMPLATE_SPHERE_LIST_FOR_NOTE,0))</f>
        <v>2.10</v>
      </c>
      <c r="J40" s="3665" t="str">
        <f>INDEX(TEMPLATE_DATA_POINT_FHD,B40,MATCH(TEMPLATE_SPHERE,TEMPLATE_SPHERE_LIST_FOR_NOTE,0))</f>
        <v>Общепроизводственные расходы, в том числе:</v>
      </c>
      <c r="K40" s="3665" t="str">
        <f>INDEX(TEMPLATE_NOTE_POINT_FHD,B40,MATCH(TEMPLATE_SPHERE,TEMPLATE_SPHERE_LIST_FOR_NOTE,0))</f>
        <v>Указывается общая сумма общепроизводственных расходов.</v>
      </c>
      <c r="L40" s="3659" t="str">
        <f>IF(I40=0,"",I40)</f>
        <v>2.10</v>
      </c>
      <c r="M40" s="3659" t="str">
        <f>IF(J40=0,"",J40)</f>
        <v>Общепроизводственные расходы, в том числе:</v>
      </c>
      <c r="N40" s="3659" t="str">
        <f>IF(K40=0,"",K40)</f>
        <v>Указывается общая сумма общепроизводственных расходов.</v>
      </c>
      <c r="O40" s="470" t="s">
        <v>2118</v>
      </c>
      <c r="P40" s="470" t="s">
        <v>765</v>
      </c>
      <c r="Q40" s="470" t="s">
        <v>2118</v>
      </c>
      <c r="R40" s="470" t="s">
        <v>765</v>
      </c>
      <c r="S40" s="470"/>
      <c r="T40" s="449" t="s">
        <v>2119</v>
      </c>
      <c r="U40" s="449" t="s">
        <v>2119</v>
      </c>
      <c r="V40" s="449" t="s">
        <v>2119</v>
      </c>
      <c r="W40" s="449" t="s">
        <v>2119</v>
      </c>
      <c r="X40" s="449"/>
      <c r="Y40" s="456"/>
      <c r="Z40" s="438" t="s">
        <v>2120</v>
      </c>
      <c r="AA40" s="3656" t="s">
        <v>2120</v>
      </c>
      <c r="AB40" s="3656" t="s">
        <v>2120</v>
      </c>
      <c r="AC40" s="3656" t="s">
        <v>2120</v>
      </c>
      <c r="AD40" s="438"/>
    </row>
    <row customHeight="1" ht="27">
      <c r="A41" s="3658"/>
      <c r="B41" s="3660">
        <v>24</v>
      </c>
      <c r="C41" s="449" t="s">
        <v>2121</v>
      </c>
      <c r="D41" s="467"/>
      <c r="E41" s="449"/>
      <c r="F41" s="449"/>
      <c r="G41" s="449"/>
      <c r="H41" s="472"/>
      <c r="I41" s="3665" t="str">
        <f>INDEX(TEMPLATE_NUMBER_POINT_FHD,B41,MATCH(TEMPLATE_SPHERE,TEMPLATE_SPHERE_LIST_FOR_NOTE,0))</f>
        <v>2.10.1</v>
      </c>
      <c r="J41" s="3665" t="str">
        <f>INDEX(TEMPLATE_DATA_POINT_FHD,B41,MATCH(TEMPLATE_SPHERE,TEMPLATE_SPHERE_LIST_FOR_NOTE,0))</f>
        <v>Расходы на текущий ремонт</v>
      </c>
      <c r="K41" s="3665" t="str">
        <f>INDEX(TEMPLATE_NOTE_POINT_FHD,B41,MATCH(TEMPLATE_SPHERE,TEMPLATE_SPHERE_LIST_FOR_NOTE,0))</f>
        <v>Указываются расходы на текущий ремонт, отнесенные к общепроизводственным расходам.</v>
      </c>
      <c r="L41" s="3659" t="str">
        <f>IF(I41=0,"",I41)</f>
        <v>2.10.1</v>
      </c>
      <c r="M41" s="3659" t="str">
        <f>IF(J41=0,"",J41)</f>
        <v>Расходы на текущий ремонт</v>
      </c>
      <c r="N41" s="3659" t="str">
        <f>IF(K41=0,"",K41)</f>
        <v>Указываются расходы на текущий ремонт, отнесенные к общепроизводственным расходам.</v>
      </c>
      <c r="O41" s="470" t="s">
        <v>2122</v>
      </c>
      <c r="P41" s="470" t="s">
        <v>2109</v>
      </c>
      <c r="Q41" s="470" t="s">
        <v>2122</v>
      </c>
      <c r="R41" s="470" t="s">
        <v>2109</v>
      </c>
      <c r="S41" s="470"/>
      <c r="T41" s="449" t="s">
        <v>2123</v>
      </c>
      <c r="U41" s="449" t="s">
        <v>2123</v>
      </c>
      <c r="V41" s="449" t="s">
        <v>2123</v>
      </c>
      <c r="W41" s="449" t="s">
        <v>2123</v>
      </c>
      <c r="X41" s="449"/>
      <c r="Y41" s="456"/>
      <c r="Z41" s="438" t="s">
        <v>2124</v>
      </c>
      <c r="AA41" s="438" t="s">
        <v>2124</v>
      </c>
      <c r="AB41" s="438" t="s">
        <v>2124</v>
      </c>
      <c r="AC41" s="438" t="s">
        <v>2124</v>
      </c>
      <c r="AD41" s="438"/>
    </row>
    <row customHeight="1" ht="27">
      <c r="A42" s="3658"/>
      <c r="B42" s="3660">
        <v>25</v>
      </c>
      <c r="C42" s="449" t="s">
        <v>2125</v>
      </c>
      <c r="D42" s="467"/>
      <c r="E42" s="449"/>
      <c r="F42" s="449"/>
      <c r="G42" s="449"/>
      <c r="H42" s="472"/>
      <c r="I42" s="3665" t="str">
        <f>INDEX(TEMPLATE_NUMBER_POINT_FHD,B42,MATCH(TEMPLATE_SPHERE,TEMPLATE_SPHERE_LIST_FOR_NOTE,0))</f>
        <v>2.10.2</v>
      </c>
      <c r="J42" s="3665" t="str">
        <f>INDEX(TEMPLATE_DATA_POINT_FHD,B42,MATCH(TEMPLATE_SPHERE,TEMPLATE_SPHERE_LIST_FOR_NOTE,0))</f>
        <v>Расходы на капитальный ремонт</v>
      </c>
      <c r="K42" s="3665" t="str">
        <f>INDEX(TEMPLATE_NOTE_POINT_FHD,B42,MATCH(TEMPLATE_SPHERE,TEMPLATE_SPHERE_LIST_FOR_NOTE,0))</f>
        <v>Указываются расходы на капитальный ремонт, отнесенные к общепроизводственным расходам.</v>
      </c>
      <c r="L42" s="3659" t="str">
        <f>IF(I42=0,"",I42)</f>
        <v>2.10.2</v>
      </c>
      <c r="M42" s="3659" t="str">
        <f>IF(J42=0,"",J42)</f>
        <v>Расходы на капитальный ремонт</v>
      </c>
      <c r="N42" s="3659" t="str">
        <f>IF(K42=0,"",K42)</f>
        <v>Указываются расходы на капитальный ремонт, отнесенные к общепроизводственным расходам.</v>
      </c>
      <c r="O42" s="470" t="s">
        <v>2126</v>
      </c>
      <c r="P42" s="470" t="s">
        <v>2112</v>
      </c>
      <c r="Q42" s="470" t="s">
        <v>2126</v>
      </c>
      <c r="R42" s="470" t="s">
        <v>2112</v>
      </c>
      <c r="S42" s="470"/>
      <c r="T42" s="449" t="s">
        <v>2127</v>
      </c>
      <c r="U42" s="449" t="s">
        <v>2127</v>
      </c>
      <c r="V42" s="449" t="s">
        <v>2127</v>
      </c>
      <c r="W42" s="449" t="s">
        <v>2127</v>
      </c>
      <c r="X42" s="449"/>
      <c r="Y42" s="456"/>
      <c r="Z42" s="438" t="s">
        <v>2128</v>
      </c>
      <c r="AA42" s="438" t="s">
        <v>2128</v>
      </c>
      <c r="AB42" s="438" t="s">
        <v>2128</v>
      </c>
      <c r="AC42" s="438" t="s">
        <v>2128</v>
      </c>
      <c r="AD42" s="438"/>
    </row>
    <row customHeight="1" ht="18">
      <c r="A43" s="3658"/>
      <c r="B43" s="3660">
        <v>26</v>
      </c>
      <c r="C43" s="449">
        <v>14</v>
      </c>
      <c r="D43" s="467"/>
      <c r="E43" s="449"/>
      <c r="F43" s="449"/>
      <c r="G43" s="449"/>
      <c r="H43" s="472"/>
      <c r="I43" s="3665" t="str">
        <f>INDEX(TEMPLATE_NUMBER_POINT_FHD,B43,MATCH(TEMPLATE_SPHERE,TEMPLATE_SPHERE_LIST_FOR_NOTE,0))</f>
        <v>2.11</v>
      </c>
      <c r="J43" s="3665" t="str">
        <f>INDEX(TEMPLATE_DATA_POINT_FHD,B43,MATCH(TEMPLATE_SPHERE,TEMPLATE_SPHERE_LIST_FOR_NOTE,0))</f>
        <v>Общехозяйственные расходы, в том числе:</v>
      </c>
      <c r="K43" s="3665" t="str">
        <f>INDEX(TEMPLATE_NOTE_POINT_FHD,B43,MATCH(TEMPLATE_SPHERE,TEMPLATE_SPHERE_LIST_FOR_NOTE,0))</f>
        <v>Указывается общая сумма общехозяйственных расходов.</v>
      </c>
      <c r="L43" s="3659" t="str">
        <f>IF(I43=0,"",I43)</f>
        <v>2.11</v>
      </c>
      <c r="M43" s="3659" t="str">
        <f>IF(J43=0,"",J43)</f>
        <v>Общехозяйственные расходы, в том числе:</v>
      </c>
      <c r="N43" s="3659" t="str">
        <f>IF(K43=0,"",K43)</f>
        <v>Указывается общая сумма общехозяйственных расходов.</v>
      </c>
      <c r="O43" s="470" t="s">
        <v>2129</v>
      </c>
      <c r="P43" s="470" t="s">
        <v>769</v>
      </c>
      <c r="Q43" s="470" t="s">
        <v>2129</v>
      </c>
      <c r="R43" s="470" t="s">
        <v>769</v>
      </c>
      <c r="S43" s="470"/>
      <c r="T43" s="449" t="s">
        <v>2130</v>
      </c>
      <c r="U43" s="449" t="s">
        <v>2130</v>
      </c>
      <c r="V43" s="449" t="s">
        <v>2130</v>
      </c>
      <c r="W43" s="449" t="s">
        <v>2130</v>
      </c>
      <c r="X43" s="449"/>
      <c r="Y43" s="456"/>
      <c r="Z43" s="438" t="s">
        <v>2131</v>
      </c>
      <c r="AA43" s="438" t="s">
        <v>2131</v>
      </c>
      <c r="AB43" s="438" t="s">
        <v>2131</v>
      </c>
      <c r="AC43" s="438" t="s">
        <v>2131</v>
      </c>
      <c r="AD43" s="438"/>
    </row>
    <row customHeight="1" ht="27">
      <c r="A44" s="3658"/>
      <c r="B44" s="3660">
        <v>27</v>
      </c>
      <c r="C44" s="449" t="s">
        <v>2132</v>
      </c>
      <c r="D44" s="467"/>
      <c r="E44" s="449"/>
      <c r="F44" s="449"/>
      <c r="G44" s="449"/>
      <c r="H44" s="472"/>
      <c r="I44" s="3665" t="str">
        <f>INDEX(TEMPLATE_NUMBER_POINT_FHD,B44,MATCH(TEMPLATE_SPHERE,TEMPLATE_SPHERE_LIST_FOR_NOTE,0))</f>
        <v>2.11.1</v>
      </c>
      <c r="J44" s="3665" t="str">
        <f>INDEX(TEMPLATE_DATA_POINT_FHD,B44,MATCH(TEMPLATE_SPHERE,TEMPLATE_SPHERE_LIST_FOR_NOTE,0))</f>
        <v>Расходы на текущий ремонт</v>
      </c>
      <c r="K44" s="3665" t="str">
        <f>INDEX(TEMPLATE_NOTE_POINT_FHD,B44,MATCH(TEMPLATE_SPHERE,TEMPLATE_SPHERE_LIST_FOR_NOTE,0))</f>
        <v>Указываются расходы на текущий ремонт, отнесенные к общехозяйственным расходам.</v>
      </c>
      <c r="L44" s="3659" t="str">
        <f>IF(I44=0,"",I44)</f>
        <v>2.11.1</v>
      </c>
      <c r="M44" s="3659" t="str">
        <f>IF(J44=0,"",J44)</f>
        <v>Расходы на текущий ремонт</v>
      </c>
      <c r="N44" s="3659" t="str">
        <f>IF(K44=0,"",K44)</f>
        <v>Указываются расходы на текущий ремонт, отнесенные к общехозяйственным расходам.</v>
      </c>
      <c r="O44" s="470" t="s">
        <v>2133</v>
      </c>
      <c r="P44" s="470" t="s">
        <v>2134</v>
      </c>
      <c r="Q44" s="470" t="s">
        <v>2133</v>
      </c>
      <c r="R44" s="470" t="s">
        <v>2134</v>
      </c>
      <c r="S44" s="470"/>
      <c r="T44" s="449" t="s">
        <v>2123</v>
      </c>
      <c r="U44" s="449" t="s">
        <v>2123</v>
      </c>
      <c r="V44" s="449" t="s">
        <v>2123</v>
      </c>
      <c r="W44" s="449" t="s">
        <v>2123</v>
      </c>
      <c r="X44" s="449"/>
      <c r="Y44" s="456"/>
      <c r="Z44" s="438" t="s">
        <v>2135</v>
      </c>
      <c r="AA44" s="438" t="s">
        <v>2135</v>
      </c>
      <c r="AB44" s="438" t="s">
        <v>2135</v>
      </c>
      <c r="AC44" s="438" t="s">
        <v>2135</v>
      </c>
      <c r="AD44" s="438"/>
    </row>
    <row customHeight="1" ht="27">
      <c r="A45" s="3658"/>
      <c r="B45" s="3660">
        <v>28</v>
      </c>
      <c r="C45" s="449" t="s">
        <v>2136</v>
      </c>
      <c r="D45" s="467"/>
      <c r="E45" s="449"/>
      <c r="F45" s="449"/>
      <c r="G45" s="449"/>
      <c r="H45" s="472"/>
      <c r="I45" s="3665" t="str">
        <f>INDEX(TEMPLATE_NUMBER_POINT_FHD,B45,MATCH(TEMPLATE_SPHERE,TEMPLATE_SPHERE_LIST_FOR_NOTE,0))</f>
        <v>2.11.2</v>
      </c>
      <c r="J45" s="3665" t="str">
        <f>INDEX(TEMPLATE_DATA_POINT_FHD,B45,MATCH(TEMPLATE_SPHERE,TEMPLATE_SPHERE_LIST_FOR_NOTE,0))</f>
        <v>Расходы на капитальный ремонт</v>
      </c>
      <c r="K45" s="3665" t="str">
        <f>INDEX(TEMPLATE_NOTE_POINT_FHD,B45,MATCH(TEMPLATE_SPHERE,TEMPLATE_SPHERE_LIST_FOR_NOTE,0))</f>
        <v>Указываются расходы на капитальный ремонт, отнесенные к общехозяйственным расходам.</v>
      </c>
      <c r="L45" s="3659" t="str">
        <f>IF(I45=0,"",I45)</f>
        <v>2.11.2</v>
      </c>
      <c r="M45" s="3659" t="str">
        <f>IF(J45=0,"",J45)</f>
        <v>Расходы на капитальный ремонт</v>
      </c>
      <c r="N45" s="3659" t="str">
        <f>IF(K45=0,"",K45)</f>
        <v>Указываются расходы на капитальный ремонт, отнесенные к общехозяйственным расходам.</v>
      </c>
      <c r="O45" s="470" t="s">
        <v>2137</v>
      </c>
      <c r="P45" s="470" t="s">
        <v>2138</v>
      </c>
      <c r="Q45" s="470" t="s">
        <v>2137</v>
      </c>
      <c r="R45" s="470" t="s">
        <v>2138</v>
      </c>
      <c r="S45" s="470"/>
      <c r="T45" s="449" t="s">
        <v>2127</v>
      </c>
      <c r="U45" s="449" t="s">
        <v>2127</v>
      </c>
      <c r="V45" s="449" t="s">
        <v>2127</v>
      </c>
      <c r="W45" s="449" t="s">
        <v>2127</v>
      </c>
      <c r="X45" s="449"/>
      <c r="Y45" s="456"/>
      <c r="Z45" s="438" t="s">
        <v>2139</v>
      </c>
      <c r="AA45" s="438" t="s">
        <v>2139</v>
      </c>
      <c r="AB45" s="438" t="s">
        <v>2139</v>
      </c>
      <c r="AC45" s="438" t="s">
        <v>2139</v>
      </c>
      <c r="AD45" s="438"/>
    </row>
    <row customHeight="1" ht="54">
      <c r="A46" s="3658"/>
      <c r="B46" s="3660">
        <v>29</v>
      </c>
      <c r="C46" s="449">
        <v>15</v>
      </c>
      <c r="D46" s="467"/>
      <c r="E46" s="449"/>
      <c r="F46" s="449"/>
      <c r="G46" s="449"/>
      <c r="H46" s="472"/>
      <c r="I46" s="3665" t="str">
        <f>INDEX(TEMPLATE_NUMBER_POINT_FHD,B46,MATCH(TEMPLATE_SPHERE,TEMPLATE_SPHERE_LIST_FOR_NOTE,0))</f>
        <v>2.12</v>
      </c>
      <c r="J46" s="3665" t="str">
        <f>INDEX(TEMPLATE_DATA_POINT_FHD,B46,MATCH(TEMPLATE_SPHERE,TEMPLATE_SPHERE_LIST_FOR_NOTE,0))</f>
        <v>Расходы на капитальный и текущий ремонт основных средств</v>
      </c>
      <c r="K46" s="366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3659" t="str">
        <f>IF(I46=0,"",I46)</f>
        <v>2.12</v>
      </c>
      <c r="M46" s="3659" t="str">
        <f>IF(J46=0,"",J46)</f>
        <v>Расходы на капитальный и текущий ремонт основных средств</v>
      </c>
      <c r="N46" s="365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470" t="s">
        <v>2140</v>
      </c>
      <c r="P46" s="470" t="s">
        <v>2118</v>
      </c>
      <c r="Q46" s="470" t="s">
        <v>2140</v>
      </c>
      <c r="R46" s="470" t="s">
        <v>2118</v>
      </c>
      <c r="S46" s="470"/>
      <c r="T46" s="365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49" t="s">
        <v>2141</v>
      </c>
      <c r="V46" s="449" t="s">
        <v>2141</v>
      </c>
      <c r="W46" s="449" t="s">
        <v>2141</v>
      </c>
      <c r="X46" s="449"/>
      <c r="Y46" s="456"/>
      <c r="Z46" s="438" t="s">
        <v>2142</v>
      </c>
      <c r="AA46" s="438" t="s">
        <v>2143</v>
      </c>
      <c r="AB46" s="438" t="s">
        <v>2143</v>
      </c>
      <c r="AC46" s="438" t="s">
        <v>2143</v>
      </c>
      <c r="AD46" s="438"/>
    </row>
    <row customHeight="1" ht="54">
      <c r="A47" s="3658"/>
      <c r="B47" s="3660">
        <v>30</v>
      </c>
      <c r="C47" s="449" t="s">
        <v>2144</v>
      </c>
      <c r="D47" s="467"/>
      <c r="E47" s="449"/>
      <c r="F47" s="449"/>
      <c r="G47" s="449"/>
      <c r="H47" s="472"/>
      <c r="I47" s="3665" t="str">
        <f>INDEX(TEMPLATE_NUMBER_POINT_FHD,B47,MATCH(TEMPLATE_SPHERE,TEMPLATE_SPHERE_LIST_FOR_NOTE,0))</f>
        <v>2.12.1</v>
      </c>
      <c r="J47" s="366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3665">
        <f>INDEX(TEMPLATE_NOTE_POINT_FHD,B47,MATCH(TEMPLATE_SPHERE,TEMPLATE_SPHERE_LIST_FOR_NOTE,0))</f>
        <v>0</v>
      </c>
      <c r="L47" s="3659" t="str">
        <f>IF(I47=0,"",I47)</f>
        <v>2.12.1</v>
      </c>
      <c r="M47" s="365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3659" t="str">
        <f>IF(K47=0,"",K47)</f>
        <v/>
      </c>
      <c r="O47" s="470" t="s">
        <v>2145</v>
      </c>
      <c r="P47" s="470" t="s">
        <v>2122</v>
      </c>
      <c r="Q47" s="470" t="s">
        <v>2145</v>
      </c>
      <c r="R47" s="470" t="s">
        <v>2122</v>
      </c>
      <c r="S47" s="470"/>
      <c r="T47" s="449" t="s">
        <v>2146</v>
      </c>
      <c r="U47" s="449" t="s">
        <v>2146</v>
      </c>
      <c r="V47" s="449" t="s">
        <v>2146</v>
      </c>
      <c r="W47" s="449" t="s">
        <v>2146</v>
      </c>
      <c r="X47" s="449"/>
      <c r="Y47" s="456"/>
      <c r="Z47" s="438"/>
      <c r="AA47" s="3656"/>
      <c r="AB47" s="3656"/>
      <c r="AC47" s="3656"/>
      <c r="AD47" s="438"/>
    </row>
    <row customHeight="1" ht="54">
      <c r="A48" s="3658"/>
      <c r="B48" s="3660">
        <v>31</v>
      </c>
      <c r="C48" s="449">
        <v>16</v>
      </c>
      <c r="D48" s="467"/>
      <c r="E48" s="449"/>
      <c r="F48" s="449"/>
      <c r="G48" s="449"/>
      <c r="H48" s="472"/>
      <c r="I48" s="3665" t="str">
        <f>INDEX(TEMPLATE_NUMBER_POINT_FHD,B48,MATCH(TEMPLATE_SPHERE,TEMPLATE_SPHERE_LIST_FOR_NOTE,0))</f>
        <v>2.13</v>
      </c>
      <c r="J48" s="366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366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3659" t="str">
        <f>IF(I48=0,"",I48)</f>
        <v>2.13</v>
      </c>
      <c r="M48" s="365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365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470"/>
      <c r="P48" s="470" t="s">
        <v>2129</v>
      </c>
      <c r="Q48" s="470" t="s">
        <v>2147</v>
      </c>
      <c r="R48" s="470" t="s">
        <v>2129</v>
      </c>
      <c r="S48" s="470"/>
      <c r="T48" s="449"/>
      <c r="U48" s="449" t="s">
        <v>2148</v>
      </c>
      <c r="V48" s="449" t="s">
        <v>2149</v>
      </c>
      <c r="W48" s="449" t="s">
        <v>2149</v>
      </c>
      <c r="X48" s="449"/>
      <c r="Y48" s="456"/>
      <c r="Z48" s="438"/>
      <c r="AA48" s="3656" t="s">
        <v>2143</v>
      </c>
      <c r="AB48" s="3656" t="s">
        <v>2143</v>
      </c>
      <c r="AC48" s="3656" t="s">
        <v>2143</v>
      </c>
      <c r="AD48" s="438"/>
    </row>
    <row customHeight="1" ht="54">
      <c r="A49" s="3658"/>
      <c r="B49" s="3660">
        <v>32</v>
      </c>
      <c r="C49" s="449" t="s">
        <v>2150</v>
      </c>
      <c r="D49" s="467"/>
      <c r="E49" s="449"/>
      <c r="F49" s="449"/>
      <c r="G49" s="449"/>
      <c r="H49" s="472"/>
      <c r="I49" s="3665" t="str">
        <f>INDEX(TEMPLATE_NUMBER_POINT_FHD,B49,MATCH(TEMPLATE_SPHERE,TEMPLATE_SPHERE_LIST_FOR_NOTE,0))</f>
        <v>2.13.1</v>
      </c>
      <c r="J49" s="366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3665">
        <f>INDEX(TEMPLATE_NOTE_POINT_FHD,B49,MATCH(TEMPLATE_SPHERE,TEMPLATE_SPHERE_LIST_FOR_NOTE,0))</f>
        <v>0</v>
      </c>
      <c r="L49" s="3659" t="str">
        <f>IF(I49=0,"",I49)</f>
        <v>2.13.1</v>
      </c>
      <c r="M49" s="365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3659" t="str">
        <f>IF(K49=0,"",K49)</f>
        <v/>
      </c>
      <c r="O49" s="470"/>
      <c r="P49" s="470" t="s">
        <v>2133</v>
      </c>
      <c r="Q49" s="470" t="s">
        <v>2151</v>
      </c>
      <c r="R49" s="470" t="s">
        <v>2133</v>
      </c>
      <c r="S49" s="470"/>
      <c r="T49" s="449"/>
      <c r="U49" s="449" t="s">
        <v>2146</v>
      </c>
      <c r="V49" s="449" t="s">
        <v>2146</v>
      </c>
      <c r="W49" s="449" t="s">
        <v>2146</v>
      </c>
      <c r="X49" s="449"/>
      <c r="Y49" s="456"/>
      <c r="Z49" s="438"/>
      <c r="AA49" s="3656"/>
      <c r="AB49" s="3656"/>
      <c r="AC49" s="3656"/>
      <c r="AD49" s="438"/>
    </row>
    <row customHeight="1" ht="126">
      <c r="A50" s="3658"/>
      <c r="B50" s="3660">
        <v>33</v>
      </c>
      <c r="C50" s="449">
        <v>17</v>
      </c>
      <c r="D50" s="467"/>
      <c r="E50" s="449"/>
      <c r="F50" s="449"/>
      <c r="G50" s="449"/>
      <c r="H50" s="472"/>
      <c r="I50" s="3665" t="str">
        <f>INDEX(TEMPLATE_NUMBER_POINT_FHD,B50,MATCH(TEMPLATE_SPHERE,TEMPLATE_SPHERE_LIST_FOR_NOTE,0))</f>
        <v>2.14</v>
      </c>
      <c r="J50" s="366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366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3659" t="str">
        <f>IF(I50=0,"",I50)</f>
        <v>2.14</v>
      </c>
      <c r="M50" s="365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365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470" t="s">
        <v>2147</v>
      </c>
      <c r="P50" s="470" t="s">
        <v>2140</v>
      </c>
      <c r="Q50" s="470" t="s">
        <v>2152</v>
      </c>
      <c r="R50" s="470" t="s">
        <v>2140</v>
      </c>
      <c r="S50" s="470"/>
      <c r="T50" s="449" t="s">
        <v>2153</v>
      </c>
      <c r="U50" s="449" t="s">
        <v>2154</v>
      </c>
      <c r="V50" s="449" t="s">
        <v>2155</v>
      </c>
      <c r="W50" s="449" t="s">
        <v>2156</v>
      </c>
      <c r="X50" s="449"/>
      <c r="Y50" s="456"/>
      <c r="Z50" s="438" t="s">
        <v>2157</v>
      </c>
      <c r="AA50" s="3656" t="s">
        <v>2158</v>
      </c>
      <c r="AB50" s="3656" t="s">
        <v>2158</v>
      </c>
      <c r="AC50" s="3656" t="s">
        <v>2158</v>
      </c>
      <c r="AD50" s="438"/>
    </row>
    <row customHeight="1" ht="27">
      <c r="A51" s="3658"/>
      <c r="B51" s="3660">
        <v>34</v>
      </c>
      <c r="C51" s="449" t="s">
        <v>2159</v>
      </c>
      <c r="D51" s="467"/>
      <c r="E51" s="449"/>
      <c r="F51" s="449"/>
      <c r="G51" s="449"/>
      <c r="H51" s="472"/>
      <c r="I51" s="3665">
        <f>INDEX(TEMPLATE_NUMBER_POINT_FHD,B51,MATCH(TEMPLATE_SPHERE,TEMPLATE_SPHERE_LIST_FOR_NOTE,0))</f>
        <v>0</v>
      </c>
      <c r="J51" s="3665">
        <f>INDEX(TEMPLATE_DATA_POINT_FHD,B51,MATCH(TEMPLATE_SPHERE,TEMPLATE_SPHERE_LIST_FOR_NOTE,0))</f>
        <v>0</v>
      </c>
      <c r="K51" s="3665">
        <f>INDEX(TEMPLATE_NOTE_POINT_FHD,B51,MATCH(TEMPLATE_SPHERE,TEMPLATE_SPHERE_LIST_FOR_NOTE,0))</f>
        <v>0</v>
      </c>
      <c r="L51" s="3659" t="str">
        <f>IF(I51=0,"",I51)</f>
        <v/>
      </c>
      <c r="M51" s="3659" t="str">
        <f>IF(J51=0,"",J51)</f>
        <v/>
      </c>
      <c r="N51" s="3659" t="str">
        <f>IF(K51=0,"",K51)</f>
        <v/>
      </c>
      <c r="O51" s="470" t="s">
        <v>88</v>
      </c>
      <c r="P51" s="470"/>
      <c r="Q51" s="470"/>
      <c r="R51" s="470"/>
      <c r="S51" s="470"/>
      <c r="T51" s="449" t="s">
        <v>2160</v>
      </c>
      <c r="U51" s="449"/>
      <c r="V51" s="449"/>
      <c r="W51" s="449"/>
      <c r="X51" s="449"/>
      <c r="Y51" s="456"/>
      <c r="Z51" s="438"/>
      <c r="AA51" s="3656"/>
      <c r="AB51" s="3656"/>
      <c r="AC51" s="3656"/>
      <c r="AD51" s="438"/>
    </row>
    <row customHeight="1" ht="36">
      <c r="A52" s="3658"/>
      <c r="B52" s="3660">
        <v>35</v>
      </c>
      <c r="C52" s="449" t="s">
        <v>2053</v>
      </c>
      <c r="D52" s="467" t="s">
        <v>2053</v>
      </c>
      <c r="E52" s="449" t="s">
        <v>2053</v>
      </c>
      <c r="F52" s="449" t="s">
        <v>2053</v>
      </c>
      <c r="G52" s="449"/>
      <c r="H52" s="472"/>
      <c r="I52" s="3665" t="str">
        <f>INDEX(TEMPLATE_NUMBER_POINT_FHD,B52,MATCH(TEMPLATE_SPHERE,TEMPLATE_SPHERE_LIST_FOR_NOTE,0))</f>
        <v>3</v>
      </c>
      <c r="J52" s="366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3665" t="str">
        <f>INDEX(TEMPLATE_NOTE_POINT_FHD,B52,MATCH(TEMPLATE_SPHERE,TEMPLATE_SPHERE_LIST_FOR_NOTE,0))</f>
        <v>Указывается общая сумма чистой прибыли, полученной от регулируемого вида деятельности.</v>
      </c>
      <c r="L52" s="3659" t="str">
        <f>IF(I52=0,"",I52)</f>
        <v>3</v>
      </c>
      <c r="M52" s="3659" t="str">
        <f>IF(J52=0,"",J52)</f>
        <v>Чистая прибыль, полученная от регулируемого вида деятельности в сфере горячего водоснабжения, в том числе:</v>
      </c>
      <c r="N52" s="3659" t="str">
        <f>IF(K52=0,"",K52)</f>
        <v>Указывается общая сумма чистой прибыли, полученной от регулируемого вида деятельности.</v>
      </c>
      <c r="O52" s="470" t="s">
        <v>89</v>
      </c>
      <c r="P52" s="470" t="s">
        <v>88</v>
      </c>
      <c r="Q52" s="470" t="s">
        <v>88</v>
      </c>
      <c r="R52" s="470" t="s">
        <v>88</v>
      </c>
      <c r="S52" s="470"/>
      <c r="T52" s="449" t="s">
        <v>2161</v>
      </c>
      <c r="U52" s="449" t="s">
        <v>2162</v>
      </c>
      <c r="V52" s="449" t="s">
        <v>2163</v>
      </c>
      <c r="W52" s="449" t="s">
        <v>2164</v>
      </c>
      <c r="X52" s="449"/>
      <c r="Y52" s="456"/>
      <c r="Z52" s="438" t="s">
        <v>773</v>
      </c>
      <c r="AA52" s="3656" t="s">
        <v>773</v>
      </c>
      <c r="AB52" s="3656" t="s">
        <v>773</v>
      </c>
      <c r="AC52" s="3656" t="s">
        <v>773</v>
      </c>
      <c r="AD52" s="438"/>
    </row>
    <row customHeight="1" ht="36">
      <c r="A53" s="3658"/>
      <c r="B53" s="3660">
        <v>36</v>
      </c>
      <c r="C53" s="449">
        <v>1</v>
      </c>
      <c r="D53" s="467"/>
      <c r="E53" s="449"/>
      <c r="F53" s="449"/>
      <c r="G53" s="449"/>
      <c r="H53" s="472"/>
      <c r="I53" s="3665" t="str">
        <f>INDEX(TEMPLATE_NUMBER_POINT_FHD,B53,MATCH(TEMPLATE_SPHERE,TEMPLATE_SPHERE_LIST_FOR_NOTE,0))</f>
        <v>3.1</v>
      </c>
      <c r="J53" s="366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3665">
        <f>INDEX(TEMPLATE_NOTE_POINT_FHD,B53,MATCH(TEMPLATE_SPHERE,TEMPLATE_SPHERE_LIST_FOR_NOTE,0))</f>
        <v>0</v>
      </c>
      <c r="L53" s="3659" t="str">
        <f>IF(I53=0,"",I53)</f>
        <v>3.1</v>
      </c>
      <c r="M53" s="365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3659" t="str">
        <f>IF(K53=0,"",K53)</f>
        <v/>
      </c>
      <c r="O53" s="470" t="s">
        <v>777</v>
      </c>
      <c r="P53" s="470" t="s">
        <v>339</v>
      </c>
      <c r="Q53" s="470" t="s">
        <v>339</v>
      </c>
      <c r="R53" s="470" t="s">
        <v>339</v>
      </c>
      <c r="S53" s="470"/>
      <c r="T53" s="449" t="s">
        <v>2165</v>
      </c>
      <c r="U53" s="449" t="s">
        <v>2165</v>
      </c>
      <c r="V53" s="449" t="s">
        <v>2165</v>
      </c>
      <c r="W53" s="449" t="s">
        <v>2165</v>
      </c>
      <c r="X53" s="449"/>
      <c r="Y53" s="456"/>
      <c r="Z53" s="438"/>
      <c r="AA53" s="3656"/>
      <c r="AB53" s="438"/>
      <c r="AC53" s="438"/>
      <c r="AD53" s="438"/>
    </row>
    <row customHeight="1" ht="18">
      <c r="A54" s="3658"/>
      <c r="B54" s="3660">
        <v>37</v>
      </c>
      <c r="C54" s="449" t="s">
        <v>2059</v>
      </c>
      <c r="D54" s="467" t="s">
        <v>2059</v>
      </c>
      <c r="E54" s="449" t="s">
        <v>2059</v>
      </c>
      <c r="F54" s="449" t="s">
        <v>2059</v>
      </c>
      <c r="G54" s="449"/>
      <c r="H54" s="472"/>
      <c r="I54" s="3665" t="str">
        <f>INDEX(TEMPLATE_NUMBER_POINT_FHD,B54,MATCH(TEMPLATE_SPHERE,TEMPLATE_SPHERE_LIST_FOR_NOTE,0))</f>
        <v>4</v>
      </c>
      <c r="J54" s="3665" t="str">
        <f>INDEX(TEMPLATE_DATA_POINT_FHD,B54,MATCH(TEMPLATE_SPHERE,TEMPLATE_SPHERE_LIST_FOR_NOTE,0))</f>
        <v>Изменение стоимости основных фондов, в том числе:</v>
      </c>
      <c r="K54" s="3665" t="str">
        <f>INDEX(TEMPLATE_NOTE_POINT_FHD,B54,MATCH(TEMPLATE_SPHERE,TEMPLATE_SPHERE_LIST_FOR_NOTE,0))</f>
        <v>Указывается общее изменение стоимости основных фондов.</v>
      </c>
      <c r="L54" s="3659" t="str">
        <f>IF(I54=0,"",I54)</f>
        <v>4</v>
      </c>
      <c r="M54" s="3659" t="str">
        <f>IF(J54=0,"",J54)</f>
        <v>Изменение стоимости основных фондов, в том числе:</v>
      </c>
      <c r="N54" s="3659" t="str">
        <f>IF(K54=0,"",K54)</f>
        <v>Указывается общее изменение стоимости основных фондов.</v>
      </c>
      <c r="O54" s="470" t="s">
        <v>109</v>
      </c>
      <c r="P54" s="470" t="s">
        <v>89</v>
      </c>
      <c r="Q54" s="470" t="s">
        <v>89</v>
      </c>
      <c r="R54" s="470" t="s">
        <v>89</v>
      </c>
      <c r="S54" s="470"/>
      <c r="T54" s="449" t="s">
        <v>775</v>
      </c>
      <c r="U54" s="449" t="s">
        <v>775</v>
      </c>
      <c r="V54" s="449" t="s">
        <v>775</v>
      </c>
      <c r="W54" s="449" t="s">
        <v>775</v>
      </c>
      <c r="X54" s="449"/>
      <c r="Y54" s="456"/>
      <c r="Z54" s="438" t="s">
        <v>776</v>
      </c>
      <c r="AA54" s="438" t="s">
        <v>776</v>
      </c>
      <c r="AB54" s="438" t="s">
        <v>776</v>
      </c>
      <c r="AC54" s="438" t="s">
        <v>776</v>
      </c>
      <c r="AD54" s="438"/>
    </row>
    <row customHeight="1" ht="36">
      <c r="A55" s="3658"/>
      <c r="B55" s="3660">
        <v>38</v>
      </c>
      <c r="C55" s="449">
        <v>1</v>
      </c>
      <c r="D55" s="467"/>
      <c r="E55" s="449"/>
      <c r="F55" s="449"/>
      <c r="G55" s="449"/>
      <c r="H55" s="472"/>
      <c r="I55" s="3665" t="str">
        <f>INDEX(TEMPLATE_NUMBER_POINT_FHD,B55,MATCH(TEMPLATE_SPHERE,TEMPLATE_SPHERE_LIST_FOR_NOTE,0))</f>
        <v>4.1</v>
      </c>
      <c r="J55" s="3665" t="str">
        <f>INDEX(TEMPLATE_DATA_POINT_FHD,B55,MATCH(TEMPLATE_SPHERE,TEMPLATE_SPHERE_LIST_FOR_NOTE,0))</f>
        <v>Изменение стоимости основных фондов за счет их ввода в эксплуатацию (вывода из эксплуатации)</v>
      </c>
      <c r="K55" s="366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3659" t="str">
        <f>IF(I55=0,"",I55)</f>
        <v>4.1</v>
      </c>
      <c r="M55" s="3659" t="str">
        <f>IF(J55=0,"",J55)</f>
        <v>Изменение стоимости основных фондов за счет их ввода в эксплуатацию (вывода из эксплуатации)</v>
      </c>
      <c r="N55" s="3659" t="str">
        <f>IF(K55=0,"",K55)</f>
        <v>Указываются общее изменение стоимости основных фондов за счет их ввода в эксплуатацию и вывода из эксплуатации.</v>
      </c>
      <c r="O55" s="470" t="s">
        <v>328</v>
      </c>
      <c r="P55" s="470" t="s">
        <v>777</v>
      </c>
      <c r="Q55" s="470" t="s">
        <v>777</v>
      </c>
      <c r="R55" s="470" t="s">
        <v>777</v>
      </c>
      <c r="S55" s="470"/>
      <c r="T55" s="365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49" t="s">
        <v>2166</v>
      </c>
      <c r="V55" s="449" t="s">
        <v>2166</v>
      </c>
      <c r="W55" s="449" t="s">
        <v>2166</v>
      </c>
      <c r="X55" s="449"/>
      <c r="Y55" s="456"/>
      <c r="Z55" s="438" t="s">
        <v>2167</v>
      </c>
      <c r="AA55" s="438" t="s">
        <v>2167</v>
      </c>
      <c r="AB55" s="438" t="s">
        <v>2167</v>
      </c>
      <c r="AC55" s="438" t="s">
        <v>2167</v>
      </c>
      <c r="AD55" s="438"/>
    </row>
    <row customHeight="1" ht="27">
      <c r="A56" s="3658"/>
      <c r="B56" s="3660">
        <v>39</v>
      </c>
      <c r="C56" s="449" t="s">
        <v>1045</v>
      </c>
      <c r="D56" s="467"/>
      <c r="E56" s="449"/>
      <c r="F56" s="449"/>
      <c r="G56" s="449"/>
      <c r="H56" s="472"/>
      <c r="I56" s="3665" t="str">
        <f>INDEX(TEMPLATE_NUMBER_POINT_FHD,B56,MATCH(TEMPLATE_SPHERE,TEMPLATE_SPHERE_LIST_FOR_NOTE,0))</f>
        <v>4.1.1</v>
      </c>
      <c r="J56" s="3665" t="str">
        <f>INDEX(TEMPLATE_DATA_POINT_FHD,B56,MATCH(TEMPLATE_SPHERE,TEMPLATE_SPHERE_LIST_FOR_NOTE,0))</f>
        <v>Изменение стоимости основных фондов за счет их ввода в эксплуатацию</v>
      </c>
      <c r="K56" s="3665" t="str">
        <f>INDEX(TEMPLATE_NOTE_POINT_FHD,B56,MATCH(TEMPLATE_SPHERE,TEMPLATE_SPHERE_LIST_FOR_NOTE,0))</f>
        <v>Указываются изменение стоимости основных фондов за счет их ввода в эксплуатацию.</v>
      </c>
      <c r="L56" s="3659" t="str">
        <f>IF(I56=0,"",I56)</f>
        <v>4.1.1</v>
      </c>
      <c r="M56" s="3659" t="str">
        <f>IF(J56=0,"",J56)</f>
        <v>Изменение стоимости основных фондов за счет их ввода в эксплуатацию</v>
      </c>
      <c r="N56" s="3659" t="str">
        <f>IF(K56=0,"",K56)</f>
        <v>Указываются изменение стоимости основных фондов за счет их ввода в эксплуатацию.</v>
      </c>
      <c r="O56" s="470" t="s">
        <v>1162</v>
      </c>
      <c r="P56" s="470" t="s">
        <v>780</v>
      </c>
      <c r="Q56" s="470" t="s">
        <v>780</v>
      </c>
      <c r="R56" s="470" t="s">
        <v>780</v>
      </c>
      <c r="S56" s="470"/>
      <c r="T56" s="365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49" t="s">
        <v>2168</v>
      </c>
      <c r="V56" s="449" t="s">
        <v>2168</v>
      </c>
      <c r="W56" s="449" t="s">
        <v>2168</v>
      </c>
      <c r="X56" s="449"/>
      <c r="Y56" s="456"/>
      <c r="Z56" s="438" t="s">
        <v>782</v>
      </c>
      <c r="AA56" s="438" t="s">
        <v>782</v>
      </c>
      <c r="AB56" s="438" t="s">
        <v>782</v>
      </c>
      <c r="AC56" s="438" t="s">
        <v>782</v>
      </c>
      <c r="AD56" s="438"/>
    </row>
    <row customHeight="1" ht="27">
      <c r="A57" s="3658"/>
      <c r="B57" s="3660">
        <v>40</v>
      </c>
      <c r="C57" s="449" t="s">
        <v>1047</v>
      </c>
      <c r="D57" s="467"/>
      <c r="E57" s="449"/>
      <c r="F57" s="449"/>
      <c r="G57" s="449"/>
      <c r="H57" s="472"/>
      <c r="I57" s="3665" t="str">
        <f>INDEX(TEMPLATE_NUMBER_POINT_FHD,B57,MATCH(TEMPLATE_SPHERE,TEMPLATE_SPHERE_LIST_FOR_NOTE,0))</f>
        <v>4.1.2</v>
      </c>
      <c r="J57" s="3665" t="str">
        <f>INDEX(TEMPLATE_DATA_POINT_FHD,B57,MATCH(TEMPLATE_SPHERE,TEMPLATE_SPHERE_LIST_FOR_NOTE,0))</f>
        <v>Изменение стоимости основных фондов за счет их вывода в эксплуатацию</v>
      </c>
      <c r="K57" s="3665" t="str">
        <f>INDEX(TEMPLATE_NOTE_POINT_FHD,B57,MATCH(TEMPLATE_SPHERE,TEMPLATE_SPHERE_LIST_FOR_NOTE,0))</f>
        <v>Указываются изменение стоимости основных фондов за счет их вывода из эксплуатации.</v>
      </c>
      <c r="L57" s="3659" t="str">
        <f>IF(I57=0,"",I57)</f>
        <v>4.1.2</v>
      </c>
      <c r="M57" s="3659" t="str">
        <f>IF(J57=0,"",J57)</f>
        <v>Изменение стоимости основных фондов за счет их вывода в эксплуатацию</v>
      </c>
      <c r="N57" s="3659" t="str">
        <f>IF(K57=0,"",K57)</f>
        <v>Указываются изменение стоимости основных фондов за счет их вывода из эксплуатации.</v>
      </c>
      <c r="O57" s="470" t="s">
        <v>2169</v>
      </c>
      <c r="P57" s="470" t="s">
        <v>783</v>
      </c>
      <c r="Q57" s="470" t="s">
        <v>783</v>
      </c>
      <c r="R57" s="470" t="s">
        <v>783</v>
      </c>
      <c r="S57" s="470"/>
      <c r="T57" s="365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49" t="s">
        <v>2170</v>
      </c>
      <c r="V57" s="449" t="s">
        <v>2170</v>
      </c>
      <c r="W57" s="449" t="s">
        <v>2170</v>
      </c>
      <c r="X57" s="449"/>
      <c r="Y57" s="456"/>
      <c r="Z57" s="438" t="s">
        <v>785</v>
      </c>
      <c r="AA57" s="438" t="s">
        <v>785</v>
      </c>
      <c r="AB57" s="438" t="s">
        <v>785</v>
      </c>
      <c r="AC57" s="438" t="s">
        <v>785</v>
      </c>
      <c r="AD57" s="438"/>
    </row>
    <row customHeight="1" ht="18">
      <c r="A58" s="3658"/>
      <c r="B58" s="3660">
        <v>41</v>
      </c>
      <c r="C58" s="449">
        <v>2</v>
      </c>
      <c r="D58" s="467"/>
      <c r="E58" s="449"/>
      <c r="F58" s="449"/>
      <c r="G58" s="449"/>
      <c r="H58" s="472"/>
      <c r="I58" s="3665" t="str">
        <f>INDEX(TEMPLATE_NUMBER_POINT_FHD,B58,MATCH(TEMPLATE_SPHERE,TEMPLATE_SPHERE_LIST_FOR_NOTE,0))</f>
        <v>4.2</v>
      </c>
      <c r="J58" s="3665" t="str">
        <f>INDEX(TEMPLATE_DATA_POINT_FHD,B58,MATCH(TEMPLATE_SPHERE,TEMPLATE_SPHERE_LIST_FOR_NOTE,0))</f>
        <v>Изменение стоимости основных фондов за счет их переоценки</v>
      </c>
      <c r="K58" s="3665">
        <f>INDEX(TEMPLATE_NOTE_POINT_FHD,B58,MATCH(TEMPLATE_SPHERE,TEMPLATE_SPHERE_LIST_FOR_NOTE,0))</f>
        <v>0</v>
      </c>
      <c r="L58" s="3659" t="str">
        <f>IF(I58=0,"",I58)</f>
        <v>4.2</v>
      </c>
      <c r="M58" s="3659" t="str">
        <f>IF(J58=0,"",J58)</f>
        <v>Изменение стоимости основных фондов за счет их переоценки</v>
      </c>
      <c r="N58" s="3659" t="str">
        <f>IF(K58=0,"",K58)</f>
        <v/>
      </c>
      <c r="O58" s="470" t="s">
        <v>904</v>
      </c>
      <c r="P58" s="470" t="s">
        <v>818</v>
      </c>
      <c r="Q58" s="470" t="s">
        <v>818</v>
      </c>
      <c r="R58" s="470" t="s">
        <v>818</v>
      </c>
      <c r="S58" s="470"/>
      <c r="T58" s="3659" t="str">
        <f>IF(TITLE_TYPE_ORG="Регулируемая организация","Изменение стоимости основных фондов за счет их переоценки","за счет их переоценки")</f>
        <v>за счет их переоценки</v>
      </c>
      <c r="U58" s="449" t="s">
        <v>2171</v>
      </c>
      <c r="V58" s="449" t="s">
        <v>2171</v>
      </c>
      <c r="W58" s="449" t="s">
        <v>2171</v>
      </c>
      <c r="X58" s="449"/>
      <c r="Y58" s="456"/>
      <c r="Z58" s="438"/>
      <c r="AA58" s="3656"/>
      <c r="AB58" s="438"/>
      <c r="AC58" s="438"/>
      <c r="AD58" s="438"/>
    </row>
    <row customHeight="1" ht="36">
      <c r="A59" s="3658"/>
      <c r="B59" s="3660">
        <v>42</v>
      </c>
      <c r="C59" s="449">
        <v>3</v>
      </c>
      <c r="D59" s="467" t="s">
        <v>2159</v>
      </c>
      <c r="E59" s="449" t="s">
        <v>2159</v>
      </c>
      <c r="F59" s="449" t="s">
        <v>2159</v>
      </c>
      <c r="G59" s="449"/>
      <c r="H59" s="472"/>
      <c r="I59" s="3665" t="str">
        <f>INDEX(TEMPLATE_NUMBER_POINT_FHD,B59,MATCH(TEMPLATE_SPHERE,TEMPLATE_SPHERE_LIST_FOR_NOTE,0))</f>
        <v>5</v>
      </c>
      <c r="J59" s="366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3665">
        <f>INDEX(TEMPLATE_NOTE_POINT_FHD,B59,MATCH(TEMPLATE_SPHERE,TEMPLATE_SPHERE_LIST_FOR_NOTE,0))</f>
        <v>0</v>
      </c>
      <c r="L59" s="3659" t="str">
        <f>IF(I59=0,"",I59)</f>
        <v>5</v>
      </c>
      <c r="M59" s="3659" t="str">
        <f>IF(J59=0,"",J59)</f>
        <v>Валовая прибыль (убытки) от продажи товаров и услуг по регулируемым видам деятельности в сфере горячего водоснабжения</v>
      </c>
      <c r="N59" s="3659" t="str">
        <f>IF(K59=0,"",K59)</f>
        <v/>
      </c>
      <c r="O59" s="470"/>
      <c r="P59" s="470" t="s">
        <v>109</v>
      </c>
      <c r="Q59" s="470" t="s">
        <v>109</v>
      </c>
      <c r="R59" s="470" t="s">
        <v>109</v>
      </c>
      <c r="S59" s="470"/>
      <c r="T59" s="449"/>
      <c r="U59" s="449" t="s">
        <v>2172</v>
      </c>
      <c r="V59" s="449" t="s">
        <v>2173</v>
      </c>
      <c r="W59" s="449" t="s">
        <v>2174</v>
      </c>
      <c r="X59" s="449"/>
      <c r="Y59" s="456"/>
      <c r="Z59" s="438"/>
      <c r="AA59" s="3656"/>
      <c r="AB59" s="438"/>
      <c r="AC59" s="438"/>
      <c r="AD59" s="438"/>
    </row>
    <row customHeight="1" ht="81">
      <c r="A60" s="3658"/>
      <c r="B60" s="3660">
        <v>43</v>
      </c>
      <c r="C60" s="449" t="s">
        <v>2175</v>
      </c>
      <c r="D60" s="467" t="s">
        <v>2175</v>
      </c>
      <c r="E60" s="449" t="s">
        <v>2175</v>
      </c>
      <c r="F60" s="449" t="s">
        <v>2175</v>
      </c>
      <c r="G60" s="449"/>
      <c r="H60" s="472"/>
      <c r="I60" s="3665" t="str">
        <f>INDEX(TEMPLATE_NUMBER_POINT_FHD,B60,MATCH(TEMPLATE_SPHERE,TEMPLATE_SPHERE_LIST_FOR_NOTE,0))</f>
        <v>6</v>
      </c>
      <c r="J60" s="3665" t="str">
        <f>INDEX(TEMPLATE_DATA_POINT_FHD,B60,MATCH(TEMPLATE_SPHERE,TEMPLATE_SPHERE_LIST_FOR_NOTE,0))</f>
        <v>Годовая бухгалтерская (финансовая) отчетность, включая бухгалтерский баланс и приложения к нему</v>
      </c>
      <c r="K60" s="366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3659" t="str">
        <f>IF(I60=0,"",I60)</f>
        <v>6</v>
      </c>
      <c r="M60" s="3659" t="str">
        <f>IF(J60=0,"",J60)</f>
        <v>Годовая бухгалтерская (финансовая) отчетность, включая бухгалтерский баланс и приложения к нему</v>
      </c>
      <c r="N60" s="365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470" t="s">
        <v>90</v>
      </c>
      <c r="P60" s="470" t="s">
        <v>90</v>
      </c>
      <c r="Q60" s="470" t="s">
        <v>90</v>
      </c>
      <c r="R60" s="470" t="s">
        <v>90</v>
      </c>
      <c r="S60" s="470"/>
      <c r="T60" s="449" t="s">
        <v>653</v>
      </c>
      <c r="U60" s="449" t="s">
        <v>653</v>
      </c>
      <c r="V60" s="449" t="s">
        <v>653</v>
      </c>
      <c r="W60" s="449" t="s">
        <v>653</v>
      </c>
      <c r="X60" s="449"/>
      <c r="Y60" s="456"/>
      <c r="Z60" s="438" t="s">
        <v>2176</v>
      </c>
      <c r="AA60" s="3656" t="s">
        <v>2177</v>
      </c>
      <c r="AB60" s="438" t="s">
        <v>2178</v>
      </c>
      <c r="AC60" s="438" t="s">
        <v>2177</v>
      </c>
      <c r="AD60" s="438"/>
    </row>
    <row customHeight="1" ht="9">
      <c r="A61" s="3658"/>
      <c r="B61" s="3660">
        <v>44</v>
      </c>
      <c r="C61" s="449"/>
      <c r="D61" s="467" t="s">
        <v>2179</v>
      </c>
      <c r="E61" s="449"/>
      <c r="F61" s="449"/>
      <c r="G61" s="449"/>
      <c r="H61" s="472"/>
      <c r="I61" s="3665">
        <f>INDEX(TEMPLATE_NUMBER_POINT_FHD,B61,MATCH(TEMPLATE_SPHERE,TEMPLATE_SPHERE_LIST_FOR_NOTE,0))</f>
        <v>0</v>
      </c>
      <c r="J61" s="3665">
        <f>INDEX(TEMPLATE_DATA_POINT_FHD,B61,MATCH(TEMPLATE_SPHERE,TEMPLATE_SPHERE_LIST_FOR_NOTE,0))</f>
        <v>0</v>
      </c>
      <c r="K61" s="3665">
        <f>INDEX(TEMPLATE_NOTE_POINT_FHD,B61,MATCH(TEMPLATE_SPHERE,TEMPLATE_SPHERE_LIST_FOR_NOTE,0))</f>
        <v>0</v>
      </c>
      <c r="L61" s="3659" t="str">
        <f>IF(I61=0,"",I61)</f>
        <v/>
      </c>
      <c r="M61" s="3659" t="str">
        <f>IF(J61=0,"",J61)</f>
        <v/>
      </c>
      <c r="N61" s="3659" t="str">
        <f>IF(K61=0,"",K61)</f>
        <v/>
      </c>
      <c r="O61" s="470"/>
      <c r="P61" s="470" t="s">
        <v>91</v>
      </c>
      <c r="Q61" s="470"/>
      <c r="R61" s="470"/>
      <c r="S61" s="470"/>
      <c r="T61" s="449"/>
      <c r="U61" s="449" t="s">
        <v>2180</v>
      </c>
      <c r="V61" s="449"/>
      <c r="W61" s="449"/>
      <c r="X61" s="449"/>
      <c r="Y61" s="456"/>
      <c r="Z61" s="438"/>
      <c r="AA61" s="3656"/>
      <c r="AB61" s="438"/>
      <c r="AC61" s="438"/>
      <c r="AD61" s="438"/>
    </row>
    <row customHeight="1" ht="9">
      <c r="A62" s="3658"/>
      <c r="B62" s="3660">
        <v>45</v>
      </c>
      <c r="C62" s="449"/>
      <c r="D62" s="467" t="s">
        <v>2181</v>
      </c>
      <c r="E62" s="449"/>
      <c r="F62" s="449"/>
      <c r="G62" s="449"/>
      <c r="H62" s="472"/>
      <c r="I62" s="3665">
        <f>INDEX(TEMPLATE_NUMBER_POINT_FHD,B62,MATCH(TEMPLATE_SPHERE,TEMPLATE_SPHERE_LIST_FOR_NOTE,0))</f>
        <v>0</v>
      </c>
      <c r="J62" s="3665">
        <f>INDEX(TEMPLATE_DATA_POINT_FHD,B62,MATCH(TEMPLATE_SPHERE,TEMPLATE_SPHERE_LIST_FOR_NOTE,0))</f>
        <v>0</v>
      </c>
      <c r="K62" s="3665">
        <f>INDEX(TEMPLATE_NOTE_POINT_FHD,B62,MATCH(TEMPLATE_SPHERE,TEMPLATE_SPHERE_LIST_FOR_NOTE,0))</f>
        <v>0</v>
      </c>
      <c r="L62" s="3659" t="str">
        <f>IF(I62=0,"",I62)</f>
        <v/>
      </c>
      <c r="M62" s="3659" t="str">
        <f>IF(J62=0,"",J62)</f>
        <v/>
      </c>
      <c r="N62" s="3659" t="str">
        <f>IF(K62=0,"",K62)</f>
        <v/>
      </c>
      <c r="O62" s="470"/>
      <c r="P62" s="470" t="s">
        <v>110</v>
      </c>
      <c r="Q62" s="470"/>
      <c r="R62" s="470"/>
      <c r="S62" s="470"/>
      <c r="T62" s="449"/>
      <c r="U62" s="449" t="s">
        <v>2182</v>
      </c>
      <c r="V62" s="449"/>
      <c r="W62" s="449"/>
      <c r="X62" s="449"/>
      <c r="Y62" s="456"/>
      <c r="Z62" s="438"/>
      <c r="AA62" s="3656"/>
      <c r="AB62" s="438"/>
      <c r="AC62" s="438"/>
      <c r="AD62" s="438"/>
    </row>
    <row customHeight="1" ht="18">
      <c r="A63" s="3658"/>
      <c r="B63" s="3660">
        <v>46</v>
      </c>
      <c r="C63" s="449"/>
      <c r="D63" s="467" t="s">
        <v>2183</v>
      </c>
      <c r="E63" s="449"/>
      <c r="F63" s="449"/>
      <c r="G63" s="449"/>
      <c r="H63" s="472"/>
      <c r="I63" s="3665">
        <f>INDEX(TEMPLATE_NUMBER_POINT_FHD,B63,MATCH(TEMPLATE_SPHERE,TEMPLATE_SPHERE_LIST_FOR_NOTE,0))</f>
        <v>0</v>
      </c>
      <c r="J63" s="3665">
        <f>INDEX(TEMPLATE_DATA_POINT_FHD,B63,MATCH(TEMPLATE_SPHERE,TEMPLATE_SPHERE_LIST_FOR_NOTE,0))</f>
        <v>0</v>
      </c>
      <c r="K63" s="3665">
        <f>INDEX(TEMPLATE_NOTE_POINT_FHD,B63,MATCH(TEMPLATE_SPHERE,TEMPLATE_SPHERE_LIST_FOR_NOTE,0))</f>
        <v>0</v>
      </c>
      <c r="L63" s="3659" t="str">
        <f>IF(I63=0,"",I63)</f>
        <v/>
      </c>
      <c r="M63" s="3659" t="str">
        <f>IF(J63=0,"",J63)</f>
        <v/>
      </c>
      <c r="N63" s="3659" t="str">
        <f>IF(K63=0,"",K63)</f>
        <v/>
      </c>
      <c r="O63" s="470"/>
      <c r="P63" s="470" t="s">
        <v>134</v>
      </c>
      <c r="Q63" s="470"/>
      <c r="R63" s="470"/>
      <c r="S63" s="470"/>
      <c r="T63" s="449"/>
      <c r="U63" s="449" t="s">
        <v>2184</v>
      </c>
      <c r="V63" s="449"/>
      <c r="W63" s="449"/>
      <c r="X63" s="449"/>
      <c r="Y63" s="456"/>
      <c r="Z63" s="438"/>
      <c r="AA63" s="3656"/>
      <c r="AB63" s="438"/>
      <c r="AC63" s="438"/>
      <c r="AD63" s="438"/>
    </row>
    <row customHeight="1" ht="18">
      <c r="A64" s="3658"/>
      <c r="B64" s="3660">
        <v>47</v>
      </c>
      <c r="C64" s="449"/>
      <c r="D64" s="467" t="s">
        <v>2185</v>
      </c>
      <c r="E64" s="449"/>
      <c r="F64" s="449"/>
      <c r="G64" s="449"/>
      <c r="H64" s="472"/>
      <c r="I64" s="3665">
        <f>INDEX(TEMPLATE_NUMBER_POINT_FHD,B64,MATCH(TEMPLATE_SPHERE,TEMPLATE_SPHERE_LIST_FOR_NOTE,0))</f>
        <v>0</v>
      </c>
      <c r="J64" s="3665">
        <f>INDEX(TEMPLATE_DATA_POINT_FHD,B64,MATCH(TEMPLATE_SPHERE,TEMPLATE_SPHERE_LIST_FOR_NOTE,0))</f>
        <v>0</v>
      </c>
      <c r="K64" s="3665">
        <f>INDEX(TEMPLATE_NOTE_POINT_FHD,B64,MATCH(TEMPLATE_SPHERE,TEMPLATE_SPHERE_LIST_FOR_NOTE,0))</f>
        <v>0</v>
      </c>
      <c r="L64" s="3659" t="str">
        <f>IF(I64=0,"",I64)</f>
        <v/>
      </c>
      <c r="M64" s="3659" t="str">
        <f>IF(J64=0,"",J64)</f>
        <v/>
      </c>
      <c r="N64" s="3659" t="str">
        <f>IF(K64=0,"",K64)</f>
        <v/>
      </c>
      <c r="O64" s="470"/>
      <c r="P64" s="470" t="s">
        <v>166</v>
      </c>
      <c r="Q64" s="470"/>
      <c r="R64" s="470"/>
      <c r="S64" s="470"/>
      <c r="T64" s="449"/>
      <c r="U64" s="449" t="s">
        <v>2186</v>
      </c>
      <c r="V64" s="449"/>
      <c r="W64" s="449"/>
      <c r="X64" s="449"/>
      <c r="Y64" s="456"/>
      <c r="Z64" s="438"/>
      <c r="AA64" s="3656" t="s">
        <v>2187</v>
      </c>
      <c r="AB64" s="438"/>
      <c r="AC64" s="438"/>
      <c r="AD64" s="438"/>
    </row>
    <row customHeight="1" ht="18">
      <c r="A65" s="3658"/>
      <c r="B65" s="3660">
        <v>48</v>
      </c>
      <c r="C65" s="449"/>
      <c r="D65" s="467"/>
      <c r="E65" s="449"/>
      <c r="F65" s="449"/>
      <c r="G65" s="449"/>
      <c r="H65" s="472"/>
      <c r="I65" s="3665">
        <f>INDEX(TEMPLATE_NUMBER_POINT_FHD,B65,MATCH(TEMPLATE_SPHERE,TEMPLATE_SPHERE_LIST_FOR_NOTE,0))</f>
        <v>0</v>
      </c>
      <c r="J65" s="3665">
        <f>INDEX(TEMPLATE_DATA_POINT_FHD,B65,MATCH(TEMPLATE_SPHERE,TEMPLATE_SPHERE_LIST_FOR_NOTE,0))</f>
        <v>0</v>
      </c>
      <c r="K65" s="3665">
        <f>INDEX(TEMPLATE_NOTE_POINT_FHD,B65,MATCH(TEMPLATE_SPHERE,TEMPLATE_SPHERE_LIST_FOR_NOTE,0))</f>
        <v>0</v>
      </c>
      <c r="L65" s="3659" t="str">
        <f>IF(I65=0,"",I65)</f>
        <v/>
      </c>
      <c r="M65" s="3659" t="str">
        <f>IF(J65=0,"",J65)</f>
        <v/>
      </c>
      <c r="N65" s="3659" t="str">
        <f>IF(K65=0,"",K65)</f>
        <v/>
      </c>
      <c r="O65" s="470"/>
      <c r="P65" s="470" t="s">
        <v>2100</v>
      </c>
      <c r="Q65" s="470"/>
      <c r="R65" s="470"/>
      <c r="S65" s="470"/>
      <c r="T65" s="449"/>
      <c r="U65" s="449" t="s">
        <v>2188</v>
      </c>
      <c r="V65" s="449"/>
      <c r="W65" s="449"/>
      <c r="X65" s="449"/>
      <c r="Y65" s="456"/>
      <c r="Z65" s="438"/>
      <c r="AA65" s="3656"/>
      <c r="AB65" s="438"/>
      <c r="AC65" s="438"/>
      <c r="AD65" s="438"/>
    </row>
    <row customHeight="1" ht="18">
      <c r="A66" s="3658"/>
      <c r="B66" s="3660">
        <v>49</v>
      </c>
      <c r="C66" s="449"/>
      <c r="D66" s="467"/>
      <c r="E66" s="449"/>
      <c r="F66" s="449"/>
      <c r="G66" s="449"/>
      <c r="H66" s="472"/>
      <c r="I66" s="3665">
        <f>INDEX(TEMPLATE_NUMBER_POINT_FHD,B66,MATCH(TEMPLATE_SPHERE,TEMPLATE_SPHERE_LIST_FOR_NOTE,0))</f>
        <v>0</v>
      </c>
      <c r="J66" s="3665">
        <f>INDEX(TEMPLATE_DATA_POINT_FHD,B66,MATCH(TEMPLATE_SPHERE,TEMPLATE_SPHERE_LIST_FOR_NOTE,0))</f>
        <v>0</v>
      </c>
      <c r="K66" s="3665">
        <f>INDEX(TEMPLATE_NOTE_POINT_FHD,B66,MATCH(TEMPLATE_SPHERE,TEMPLATE_SPHERE_LIST_FOR_NOTE,0))</f>
        <v>0</v>
      </c>
      <c r="L66" s="3659" t="str">
        <f>IF(I66=0,"",I66)</f>
        <v/>
      </c>
      <c r="M66" s="3659" t="str">
        <f>IF(J66=0,"",J66)</f>
        <v/>
      </c>
      <c r="N66" s="3659" t="str">
        <f>IF(K66=0,"",K66)</f>
        <v/>
      </c>
      <c r="O66" s="470"/>
      <c r="P66" s="470" t="s">
        <v>2104</v>
      </c>
      <c r="Q66" s="470"/>
      <c r="R66" s="470"/>
      <c r="S66" s="470"/>
      <c r="T66" s="449"/>
      <c r="U66" s="449" t="s">
        <v>2189</v>
      </c>
      <c r="V66" s="449"/>
      <c r="W66" s="449"/>
      <c r="X66" s="449"/>
      <c r="Y66" s="456"/>
      <c r="Z66" s="438"/>
      <c r="AA66" s="3656"/>
      <c r="AB66" s="438"/>
      <c r="AC66" s="438"/>
      <c r="AD66" s="438"/>
    </row>
    <row customHeight="1" ht="27">
      <c r="A67" s="3658"/>
      <c r="B67" s="3660">
        <v>50</v>
      </c>
      <c r="C67" s="449"/>
      <c r="D67" s="467"/>
      <c r="E67" s="449"/>
      <c r="F67" s="449"/>
      <c r="G67" s="449"/>
      <c r="H67" s="472"/>
      <c r="I67" s="3665">
        <f>INDEX(TEMPLATE_NUMBER_POINT_FHD,B67,MATCH(TEMPLATE_SPHERE,TEMPLATE_SPHERE_LIST_FOR_NOTE,0))</f>
        <v>0</v>
      </c>
      <c r="J67" s="3665">
        <f>INDEX(TEMPLATE_DATA_POINT_FHD,B67,MATCH(TEMPLATE_SPHERE,TEMPLATE_SPHERE_LIST_FOR_NOTE,0))</f>
        <v>0</v>
      </c>
      <c r="K67" s="3665">
        <f>INDEX(TEMPLATE_NOTE_POINT_FHD,B67,MATCH(TEMPLATE_SPHERE,TEMPLATE_SPHERE_LIST_FOR_NOTE,0))</f>
        <v>0</v>
      </c>
      <c r="L67" s="3659" t="str">
        <f>IF(I67=0,"",I67)</f>
        <v/>
      </c>
      <c r="M67" s="3659" t="str">
        <f>IF(J67=0,"",J67)</f>
        <v/>
      </c>
      <c r="N67" s="3659" t="str">
        <f>IF(K67=0,"",K67)</f>
        <v/>
      </c>
      <c r="O67" s="470"/>
      <c r="P67" s="470" t="s">
        <v>2190</v>
      </c>
      <c r="Q67" s="470"/>
      <c r="R67" s="470"/>
      <c r="S67" s="470"/>
      <c r="T67" s="449"/>
      <c r="U67" s="449" t="s">
        <v>2191</v>
      </c>
      <c r="V67" s="449"/>
      <c r="W67" s="449"/>
      <c r="X67" s="449"/>
      <c r="Y67" s="456"/>
      <c r="Z67" s="438"/>
      <c r="AA67" s="3656"/>
      <c r="AB67" s="438"/>
      <c r="AC67" s="438"/>
      <c r="AD67" s="438"/>
    </row>
    <row customHeight="1" ht="27">
      <c r="A68" s="3658"/>
      <c r="B68" s="3660">
        <v>51</v>
      </c>
      <c r="C68" s="449"/>
      <c r="D68" s="467"/>
      <c r="E68" s="449"/>
      <c r="F68" s="449"/>
      <c r="G68" s="449"/>
      <c r="H68" s="472"/>
      <c r="I68" s="3665">
        <f>INDEX(TEMPLATE_NUMBER_POINT_FHD,B68,MATCH(TEMPLATE_SPHERE,TEMPLATE_SPHERE_LIST_FOR_NOTE,0))</f>
        <v>0</v>
      </c>
      <c r="J68" s="3665">
        <f>INDEX(TEMPLATE_DATA_POINT_FHD,B68,MATCH(TEMPLATE_SPHERE,TEMPLATE_SPHERE_LIST_FOR_NOTE,0))</f>
        <v>0</v>
      </c>
      <c r="K68" s="3665">
        <f>INDEX(TEMPLATE_NOTE_POINT_FHD,B68,MATCH(TEMPLATE_SPHERE,TEMPLATE_SPHERE_LIST_FOR_NOTE,0))</f>
        <v>0</v>
      </c>
      <c r="L68" s="3659" t="str">
        <f>IF(I68=0,"",I68)</f>
        <v/>
      </c>
      <c r="M68" s="3659" t="str">
        <f>IF(J68=0,"",J68)</f>
        <v/>
      </c>
      <c r="N68" s="3659" t="str">
        <f>IF(K68=0,"",K68)</f>
        <v/>
      </c>
      <c r="O68" s="470"/>
      <c r="P68" s="470" t="s">
        <v>2192</v>
      </c>
      <c r="Q68" s="470"/>
      <c r="R68" s="470"/>
      <c r="S68" s="470"/>
      <c r="T68" s="449"/>
      <c r="U68" s="449" t="s">
        <v>2193</v>
      </c>
      <c r="V68" s="449"/>
      <c r="W68" s="449"/>
      <c r="X68" s="449"/>
      <c r="Y68" s="456"/>
      <c r="Z68" s="438"/>
      <c r="AA68" s="3656"/>
      <c r="AB68" s="438"/>
      <c r="AC68" s="438"/>
      <c r="AD68" s="438"/>
    </row>
    <row customHeight="1" ht="9">
      <c r="A69" s="3658"/>
      <c r="B69" s="3660">
        <v>52</v>
      </c>
      <c r="C69" s="449"/>
      <c r="D69" s="467" t="s">
        <v>2194</v>
      </c>
      <c r="E69" s="449"/>
      <c r="F69" s="449"/>
      <c r="G69" s="449"/>
      <c r="H69" s="472"/>
      <c r="I69" s="3665">
        <f>INDEX(TEMPLATE_NUMBER_POINT_FHD,B69,MATCH(TEMPLATE_SPHERE,TEMPLATE_SPHERE_LIST_FOR_NOTE,0))</f>
        <v>0</v>
      </c>
      <c r="J69" s="3665">
        <f>INDEX(TEMPLATE_DATA_POINT_FHD,B69,MATCH(TEMPLATE_SPHERE,TEMPLATE_SPHERE_LIST_FOR_NOTE,0))</f>
        <v>0</v>
      </c>
      <c r="K69" s="3665">
        <f>INDEX(TEMPLATE_NOTE_POINT_FHD,B69,MATCH(TEMPLATE_SPHERE,TEMPLATE_SPHERE_LIST_FOR_NOTE,0))</f>
        <v>0</v>
      </c>
      <c r="L69" s="3659" t="str">
        <f>IF(I69=0,"",I69)</f>
        <v/>
      </c>
      <c r="M69" s="3659" t="str">
        <f>IF(J69=0,"",J69)</f>
        <v/>
      </c>
      <c r="N69" s="3659" t="str">
        <f>IF(K69=0,"",K69)</f>
        <v/>
      </c>
      <c r="O69" s="470"/>
      <c r="P69" s="470" t="s">
        <v>167</v>
      </c>
      <c r="Q69" s="470"/>
      <c r="R69" s="470"/>
      <c r="S69" s="470"/>
      <c r="T69" s="449"/>
      <c r="U69" s="449" t="s">
        <v>2195</v>
      </c>
      <c r="V69" s="449"/>
      <c r="W69" s="449"/>
      <c r="X69" s="449"/>
      <c r="Y69" s="456"/>
      <c r="Z69" s="438"/>
      <c r="AA69" s="3656"/>
      <c r="AB69" s="438"/>
      <c r="AC69" s="438"/>
      <c r="AD69" s="438"/>
    </row>
    <row customHeight="1" ht="27">
      <c r="A70" s="3658"/>
      <c r="B70" s="3660">
        <v>53</v>
      </c>
      <c r="C70" s="449"/>
      <c r="D70" s="467"/>
      <c r="E70" s="449" t="s">
        <v>2179</v>
      </c>
      <c r="F70" s="449"/>
      <c r="G70" s="449"/>
      <c r="H70" s="472"/>
      <c r="I70" s="3665" t="str">
        <f>INDEX(TEMPLATE_NUMBER_POINT_FHD,B70,MATCH(TEMPLATE_SPHERE,TEMPLATE_SPHERE_LIST_FOR_NOTE,0))</f>
        <v>7</v>
      </c>
      <c r="J70" s="3665" t="str">
        <f>INDEX(TEMPLATE_DATA_POINT_FHD,B70,MATCH(TEMPLATE_SPHERE,TEMPLATE_SPHERE_LIST_FOR_NOTE,0))</f>
        <v>Объём приобретаемой холодной воды, используемой для горячего водоснабжения</v>
      </c>
      <c r="K70" s="3665">
        <f>INDEX(TEMPLATE_NOTE_POINT_FHD,B70,MATCH(TEMPLATE_SPHERE,TEMPLATE_SPHERE_LIST_FOR_NOTE,0))</f>
        <v>0</v>
      </c>
      <c r="L70" s="3659" t="str">
        <f>IF(I70=0,"",I70)</f>
        <v>7</v>
      </c>
      <c r="M70" s="3659" t="str">
        <f>IF(J70=0,"",J70)</f>
        <v>Объём приобретаемой холодной воды, используемой для горячего водоснабжения</v>
      </c>
      <c r="N70" s="3659" t="str">
        <f>IF(K70=0,"",K70)</f>
        <v/>
      </c>
      <c r="O70" s="470"/>
      <c r="P70" s="470"/>
      <c r="Q70" s="470" t="s">
        <v>91</v>
      </c>
      <c r="R70" s="470"/>
      <c r="S70" s="470"/>
      <c r="T70" s="449"/>
      <c r="U70" s="449"/>
      <c r="V70" s="449" t="s">
        <v>2196</v>
      </c>
      <c r="W70" s="449"/>
      <c r="X70" s="449"/>
      <c r="Y70" s="456"/>
      <c r="Z70" s="438"/>
      <c r="AA70" s="3656"/>
      <c r="AB70" s="438"/>
      <c r="AC70" s="438"/>
      <c r="AD70" s="438"/>
    </row>
    <row customHeight="1" ht="36">
      <c r="A71" s="3658"/>
      <c r="B71" s="3660">
        <v>54</v>
      </c>
      <c r="C71" s="449"/>
      <c r="D71" s="467"/>
      <c r="E71" s="449" t="s">
        <v>2181</v>
      </c>
      <c r="F71" s="449"/>
      <c r="G71" s="449"/>
      <c r="H71" s="472"/>
      <c r="I71" s="3665" t="str">
        <f>INDEX(TEMPLATE_NUMBER_POINT_FHD,B71,MATCH(TEMPLATE_SPHERE,TEMPLATE_SPHERE_LIST_FOR_NOTE,0))</f>
        <v>8</v>
      </c>
      <c r="J71" s="366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3665">
        <f>INDEX(TEMPLATE_NOTE_POINT_FHD,B71,MATCH(TEMPLATE_SPHERE,TEMPLATE_SPHERE_LIST_FOR_NOTE,0))</f>
        <v>0</v>
      </c>
      <c r="L71" s="3659" t="str">
        <f>IF(I71=0,"",I71)</f>
        <v>8</v>
      </c>
      <c r="M71" s="3659" t="str">
        <f>IF(J71=0,"",J71)</f>
        <v>Объём холодной воды, получаемой с применением собственных источников водозабора (скважин) и используемой для горячего водоснабжения</v>
      </c>
      <c r="N71" s="3659" t="str">
        <f>IF(K71=0,"",K71)</f>
        <v/>
      </c>
      <c r="O71" s="470"/>
      <c r="P71" s="470"/>
      <c r="Q71" s="470" t="s">
        <v>110</v>
      </c>
      <c r="R71" s="470"/>
      <c r="S71" s="470"/>
      <c r="T71" s="449"/>
      <c r="U71" s="449"/>
      <c r="V71" s="449" t="s">
        <v>2197</v>
      </c>
      <c r="W71" s="449"/>
      <c r="X71" s="449"/>
      <c r="Y71" s="456"/>
      <c r="Z71" s="438"/>
      <c r="AA71" s="3656"/>
      <c r="AB71" s="438"/>
      <c r="AC71" s="438"/>
      <c r="AD71" s="438"/>
    </row>
    <row customHeight="1" ht="27">
      <c r="A72" s="3658"/>
      <c r="B72" s="3660">
        <v>55</v>
      </c>
      <c r="C72" s="449"/>
      <c r="D72" s="467"/>
      <c r="E72" s="449" t="s">
        <v>2183</v>
      </c>
      <c r="F72" s="449"/>
      <c r="G72" s="449"/>
      <c r="H72" s="472"/>
      <c r="I72" s="3665" t="str">
        <f>INDEX(TEMPLATE_NUMBER_POINT_FHD,B72,MATCH(TEMPLATE_SPHERE,TEMPLATE_SPHERE_LIST_FOR_NOTE,0))</f>
        <v>9</v>
      </c>
      <c r="J72" s="3665" t="str">
        <f>INDEX(TEMPLATE_DATA_POINT_FHD,B72,MATCH(TEMPLATE_SPHERE,TEMPLATE_SPHERE_LIST_FOR_NOTE,0))</f>
        <v>Объём приобретаемой тепловой энергии (мощности), используемой для горячего водоснабжения</v>
      </c>
      <c r="K72" s="3665">
        <f>INDEX(TEMPLATE_NOTE_POINT_FHD,B72,MATCH(TEMPLATE_SPHERE,TEMPLATE_SPHERE_LIST_FOR_NOTE,0))</f>
        <v>0</v>
      </c>
      <c r="L72" s="3659" t="str">
        <f>IF(I72=0,"",I72)</f>
        <v>9</v>
      </c>
      <c r="M72" s="3659" t="str">
        <f>IF(J72=0,"",J72)</f>
        <v>Объём приобретаемой тепловой энергии (мощности), используемой для горячего водоснабжения</v>
      </c>
      <c r="N72" s="3659" t="str">
        <f>IF(K72=0,"",K72)</f>
        <v/>
      </c>
      <c r="O72" s="470"/>
      <c r="P72" s="470"/>
      <c r="Q72" s="470" t="s">
        <v>134</v>
      </c>
      <c r="R72" s="470"/>
      <c r="S72" s="470"/>
      <c r="T72" s="449"/>
      <c r="U72" s="449"/>
      <c r="V72" s="449" t="s">
        <v>2198</v>
      </c>
      <c r="W72" s="449"/>
      <c r="X72" s="449"/>
      <c r="Y72" s="456"/>
      <c r="Z72" s="438"/>
      <c r="AA72" s="3656"/>
      <c r="AB72" s="438"/>
      <c r="AC72" s="438"/>
      <c r="AD72" s="438"/>
    </row>
    <row customHeight="1" ht="36">
      <c r="A73" s="3658"/>
      <c r="B73" s="3660">
        <v>56</v>
      </c>
      <c r="C73" s="449"/>
      <c r="D73" s="467"/>
      <c r="E73" s="449" t="s">
        <v>2185</v>
      </c>
      <c r="F73" s="449"/>
      <c r="G73" s="449"/>
      <c r="H73" s="472"/>
      <c r="I73" s="3665" t="str">
        <f>INDEX(TEMPLATE_NUMBER_POINT_FHD,B73,MATCH(TEMPLATE_SPHERE,TEMPLATE_SPHERE_LIST_FOR_NOTE,0))</f>
        <v>10</v>
      </c>
      <c r="J73" s="366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3665">
        <f>INDEX(TEMPLATE_NOTE_POINT_FHD,B73,MATCH(TEMPLATE_SPHERE,TEMPLATE_SPHERE_LIST_FOR_NOTE,0))</f>
        <v>0</v>
      </c>
      <c r="L73" s="3659" t="str">
        <f>IF(I73=0,"",I73)</f>
        <v>10</v>
      </c>
      <c r="M73" s="3659" t="str">
        <f>IF(J73=0,"",J73)</f>
        <v>Объём тепловой энергии, производимой с применением собственных источников и используемой для горячего водоснабжения</v>
      </c>
      <c r="N73" s="3659" t="str">
        <f>IF(K73=0,"",K73)</f>
        <v/>
      </c>
      <c r="O73" s="470"/>
      <c r="P73" s="470"/>
      <c r="Q73" s="470" t="s">
        <v>166</v>
      </c>
      <c r="R73" s="470"/>
      <c r="S73" s="470"/>
      <c r="T73" s="449"/>
      <c r="U73" s="449"/>
      <c r="V73" s="449" t="s">
        <v>2199</v>
      </c>
      <c r="W73" s="449"/>
      <c r="X73" s="449"/>
      <c r="Y73" s="456"/>
      <c r="Z73" s="438"/>
      <c r="AA73" s="3656"/>
      <c r="AB73" s="438"/>
      <c r="AC73" s="438"/>
      <c r="AD73" s="438"/>
    </row>
    <row customHeight="1" ht="18">
      <c r="A74" s="3658"/>
      <c r="B74" s="3660">
        <v>57</v>
      </c>
      <c r="C74" s="449"/>
      <c r="D74" s="467"/>
      <c r="E74" s="449" t="s">
        <v>2194</v>
      </c>
      <c r="F74" s="449"/>
      <c r="G74" s="449"/>
      <c r="H74" s="472"/>
      <c r="I74" s="3665" t="str">
        <f>INDEX(TEMPLATE_NUMBER_POINT_FHD,B74,MATCH(TEMPLATE_SPHERE,TEMPLATE_SPHERE_LIST_FOR_NOTE,0))</f>
        <v>11</v>
      </c>
      <c r="J74" s="3665" t="str">
        <f>INDEX(TEMPLATE_DATA_POINT_FHD,B74,MATCH(TEMPLATE_SPHERE,TEMPLATE_SPHERE_LIST_FOR_NOTE,0))</f>
        <v>Потери горячей воды в сетях (процентов)</v>
      </c>
      <c r="K74" s="3665">
        <f>INDEX(TEMPLATE_NOTE_POINT_FHD,B74,MATCH(TEMPLATE_SPHERE,TEMPLATE_SPHERE_LIST_FOR_NOTE,0))</f>
        <v>0</v>
      </c>
      <c r="L74" s="3659" t="str">
        <f>IF(I74=0,"",I74)</f>
        <v>11</v>
      </c>
      <c r="M74" s="3659" t="str">
        <f>IF(J74=0,"",J74)</f>
        <v>Потери горячей воды в сетях (процентов)</v>
      </c>
      <c r="N74" s="3659" t="str">
        <f>IF(K74=0,"",K74)</f>
        <v/>
      </c>
      <c r="O74" s="470"/>
      <c r="P74" s="470"/>
      <c r="Q74" s="470" t="s">
        <v>167</v>
      </c>
      <c r="R74" s="470"/>
      <c r="S74" s="470"/>
      <c r="T74" s="449"/>
      <c r="U74" s="449"/>
      <c r="V74" s="449" t="s">
        <v>2200</v>
      </c>
      <c r="W74" s="449"/>
      <c r="X74" s="449"/>
      <c r="Y74" s="456"/>
      <c r="Z74" s="438"/>
      <c r="AA74" s="3656"/>
      <c r="AB74" s="438"/>
      <c r="AC74" s="438"/>
      <c r="AD74" s="438"/>
    </row>
    <row customHeight="1" ht="18">
      <c r="A75" s="3658"/>
      <c r="B75" s="3660">
        <v>58</v>
      </c>
      <c r="C75" s="449"/>
      <c r="D75" s="467"/>
      <c r="E75" s="449"/>
      <c r="F75" s="449" t="s">
        <v>2179</v>
      </c>
      <c r="G75" s="449"/>
      <c r="H75" s="472"/>
      <c r="I75" s="3665">
        <f>INDEX(TEMPLATE_NUMBER_POINT_FHD,B75,MATCH(TEMPLATE_SPHERE,TEMPLATE_SPHERE_LIST_FOR_NOTE,0))</f>
        <v>0</v>
      </c>
      <c r="J75" s="3665">
        <f>INDEX(TEMPLATE_DATA_POINT_FHD,B75,MATCH(TEMPLATE_SPHERE,TEMPLATE_SPHERE_LIST_FOR_NOTE,0))</f>
        <v>0</v>
      </c>
      <c r="K75" s="3665">
        <f>INDEX(TEMPLATE_NOTE_POINT_FHD,B75,MATCH(TEMPLATE_SPHERE,TEMPLATE_SPHERE_LIST_FOR_NOTE,0))</f>
        <v>0</v>
      </c>
      <c r="L75" s="3659" t="str">
        <f>IF(I75=0,"",I75)</f>
        <v/>
      </c>
      <c r="M75" s="3659" t="str">
        <f>IF(J75=0,"",J75)</f>
        <v/>
      </c>
      <c r="N75" s="3659" t="str">
        <f>IF(K75=0,"",K75)</f>
        <v/>
      </c>
      <c r="O75" s="470"/>
      <c r="P75" s="470"/>
      <c r="Q75" s="470"/>
      <c r="R75" s="470" t="s">
        <v>91</v>
      </c>
      <c r="S75" s="470"/>
      <c r="T75" s="449"/>
      <c r="U75" s="449"/>
      <c r="V75" s="449"/>
      <c r="W75" s="449" t="s">
        <v>2201</v>
      </c>
      <c r="X75" s="449"/>
      <c r="Y75" s="456"/>
      <c r="Z75" s="438"/>
      <c r="AA75" s="3656"/>
      <c r="AB75" s="438"/>
      <c r="AC75" s="438"/>
      <c r="AD75" s="438"/>
    </row>
    <row customHeight="1" ht="36">
      <c r="A76" s="3658"/>
      <c r="B76" s="3660">
        <v>59</v>
      </c>
      <c r="C76" s="449"/>
      <c r="D76" s="467"/>
      <c r="E76" s="449"/>
      <c r="F76" s="449" t="s">
        <v>2181</v>
      </c>
      <c r="G76" s="449"/>
      <c r="H76" s="472"/>
      <c r="I76" s="3665">
        <f>INDEX(TEMPLATE_NUMBER_POINT_FHD,B76,MATCH(TEMPLATE_SPHERE,TEMPLATE_SPHERE_LIST_FOR_NOTE,0))</f>
        <v>0</v>
      </c>
      <c r="J76" s="3665">
        <f>INDEX(TEMPLATE_DATA_POINT_FHD,B76,MATCH(TEMPLATE_SPHERE,TEMPLATE_SPHERE_LIST_FOR_NOTE,0))</f>
        <v>0</v>
      </c>
      <c r="K76" s="3665">
        <f>INDEX(TEMPLATE_NOTE_POINT_FHD,B76,MATCH(TEMPLATE_SPHERE,TEMPLATE_SPHERE_LIST_FOR_NOTE,0))</f>
        <v>0</v>
      </c>
      <c r="L76" s="3659" t="str">
        <f>IF(I76=0,"",I76)</f>
        <v/>
      </c>
      <c r="M76" s="3659" t="str">
        <f>IF(J76=0,"",J76)</f>
        <v/>
      </c>
      <c r="N76" s="3659" t="str">
        <f>IF(K76=0,"",K76)</f>
        <v/>
      </c>
      <c r="O76" s="470"/>
      <c r="P76" s="470"/>
      <c r="Q76" s="470"/>
      <c r="R76" s="470" t="s">
        <v>110</v>
      </c>
      <c r="S76" s="470"/>
      <c r="T76" s="449"/>
      <c r="U76" s="449"/>
      <c r="V76" s="449"/>
      <c r="W76" s="449" t="s">
        <v>2202</v>
      </c>
      <c r="X76" s="449"/>
      <c r="Y76" s="456"/>
      <c r="Z76" s="438"/>
      <c r="AA76" s="3656"/>
      <c r="AB76" s="438"/>
      <c r="AC76" s="438"/>
      <c r="AD76" s="438"/>
    </row>
    <row customHeight="1" ht="18">
      <c r="A77" s="3658"/>
      <c r="B77" s="3660">
        <v>60</v>
      </c>
      <c r="C77" s="449"/>
      <c r="D77" s="467"/>
      <c r="E77" s="449"/>
      <c r="F77" s="449" t="s">
        <v>2183</v>
      </c>
      <c r="G77" s="449"/>
      <c r="H77" s="472"/>
      <c r="I77" s="3665">
        <f>INDEX(TEMPLATE_NUMBER_POINT_FHD,B77,MATCH(TEMPLATE_SPHERE,TEMPLATE_SPHERE_LIST_FOR_NOTE,0))</f>
        <v>0</v>
      </c>
      <c r="J77" s="3665">
        <f>INDEX(TEMPLATE_DATA_POINT_FHD,B77,MATCH(TEMPLATE_SPHERE,TEMPLATE_SPHERE_LIST_FOR_NOTE,0))</f>
        <v>0</v>
      </c>
      <c r="K77" s="3665">
        <f>INDEX(TEMPLATE_NOTE_POINT_FHD,B77,MATCH(TEMPLATE_SPHERE,TEMPLATE_SPHERE_LIST_FOR_NOTE,0))</f>
        <v>0</v>
      </c>
      <c r="L77" s="3659" t="str">
        <f>IF(I77=0,"",I77)</f>
        <v/>
      </c>
      <c r="M77" s="3659" t="str">
        <f>IF(J77=0,"",J77)</f>
        <v/>
      </c>
      <c r="N77" s="3659" t="str">
        <f>IF(K77=0,"",K77)</f>
        <v/>
      </c>
      <c r="O77" s="470"/>
      <c r="P77" s="470"/>
      <c r="Q77" s="470"/>
      <c r="R77" s="470" t="s">
        <v>134</v>
      </c>
      <c r="S77" s="470"/>
      <c r="T77" s="449"/>
      <c r="U77" s="449"/>
      <c r="V77" s="449"/>
      <c r="W77" s="449" t="s">
        <v>2203</v>
      </c>
      <c r="X77" s="449"/>
      <c r="Y77" s="456"/>
      <c r="Z77" s="438"/>
      <c r="AA77" s="3656"/>
      <c r="AB77" s="438"/>
      <c r="AC77" s="438"/>
      <c r="AD77" s="438"/>
    </row>
    <row customHeight="1" ht="72">
      <c r="A78" s="3658"/>
      <c r="B78" s="3660">
        <v>61</v>
      </c>
      <c r="C78" s="449" t="s">
        <v>2179</v>
      </c>
      <c r="D78" s="467"/>
      <c r="E78" s="449"/>
      <c r="F78" s="449"/>
      <c r="G78" s="449"/>
      <c r="H78" s="472"/>
      <c r="I78" s="3665">
        <f>INDEX(TEMPLATE_NUMBER_POINT_FHD,B78,MATCH(TEMPLATE_SPHERE,TEMPLATE_SPHERE_LIST_FOR_NOTE,0))</f>
        <v>0</v>
      </c>
      <c r="J78" s="3665">
        <f>INDEX(TEMPLATE_DATA_POINT_FHD,B78,MATCH(TEMPLATE_SPHERE,TEMPLATE_SPHERE_LIST_FOR_NOTE,0))</f>
        <v>0</v>
      </c>
      <c r="K78" s="3665">
        <f>INDEX(TEMPLATE_NOTE_POINT_FHD,B78,MATCH(TEMPLATE_SPHERE,TEMPLATE_SPHERE_LIST_FOR_NOTE,0))</f>
        <v>0</v>
      </c>
      <c r="L78" s="3659" t="str">
        <f>IF(I78=0,"",I78)</f>
        <v/>
      </c>
      <c r="M78" s="3659" t="str">
        <f>IF(J78=0,"",J78)</f>
        <v/>
      </c>
      <c r="N78" s="3659" t="str">
        <f>IF(K78=0,"",K78)</f>
        <v/>
      </c>
      <c r="O78" s="470" t="s">
        <v>91</v>
      </c>
      <c r="P78" s="470"/>
      <c r="Q78" s="470"/>
      <c r="R78" s="470"/>
      <c r="S78" s="470"/>
      <c r="T78" s="449" t="s">
        <v>658</v>
      </c>
      <c r="U78" s="449"/>
      <c r="V78" s="449"/>
      <c r="W78" s="449"/>
      <c r="X78" s="449"/>
      <c r="Y78" s="456"/>
      <c r="Z78" s="438" t="s">
        <v>2204</v>
      </c>
      <c r="AA78" s="3656"/>
      <c r="AB78" s="438"/>
      <c r="AC78" s="438"/>
      <c r="AD78" s="438"/>
    </row>
    <row customHeight="1" ht="36">
      <c r="A79" s="3658"/>
      <c r="B79" s="3660">
        <v>62</v>
      </c>
      <c r="C79" s="449" t="s">
        <v>2181</v>
      </c>
      <c r="D79" s="467"/>
      <c r="E79" s="449"/>
      <c r="F79" s="449"/>
      <c r="G79" s="449"/>
      <c r="H79" s="472"/>
      <c r="I79" s="3665">
        <f>INDEX(TEMPLATE_NUMBER_POINT_FHD,B79,MATCH(TEMPLATE_SPHERE,TEMPLATE_SPHERE_LIST_FOR_NOTE,0))</f>
        <v>0</v>
      </c>
      <c r="J79" s="3665">
        <f>INDEX(TEMPLATE_DATA_POINT_FHD,B79,MATCH(TEMPLATE_SPHERE,TEMPLATE_SPHERE_LIST_FOR_NOTE,0))</f>
        <v>0</v>
      </c>
      <c r="K79" s="3665">
        <f>INDEX(TEMPLATE_NOTE_POINT_FHD,B79,MATCH(TEMPLATE_SPHERE,TEMPLATE_SPHERE_LIST_FOR_NOTE,0))</f>
        <v>0</v>
      </c>
      <c r="L79" s="3659" t="str">
        <f>IF(I79=0,"",I79)</f>
        <v/>
      </c>
      <c r="M79" s="3659" t="str">
        <f>IF(J79=0,"",J79)</f>
        <v/>
      </c>
      <c r="N79" s="3659" t="str">
        <f>IF(K79=0,"",K79)</f>
        <v/>
      </c>
      <c r="O79" s="470" t="s">
        <v>110</v>
      </c>
      <c r="P79" s="470"/>
      <c r="Q79" s="470"/>
      <c r="R79" s="470"/>
      <c r="S79" s="470"/>
      <c r="T79" s="449" t="s">
        <v>2205</v>
      </c>
      <c r="U79" s="449"/>
      <c r="V79" s="449"/>
      <c r="W79" s="449"/>
      <c r="X79" s="449"/>
      <c r="Y79" s="456"/>
      <c r="Z79" s="438" t="s">
        <v>2206</v>
      </c>
      <c r="AA79" s="3656"/>
      <c r="AB79" s="438"/>
      <c r="AC79" s="438"/>
      <c r="AD79" s="438"/>
    </row>
    <row customHeight="1" ht="45">
      <c r="A80" s="3658"/>
      <c r="B80" s="3660">
        <v>63</v>
      </c>
      <c r="C80" s="449" t="s">
        <v>2183</v>
      </c>
      <c r="D80" s="467"/>
      <c r="E80" s="449"/>
      <c r="F80" s="449"/>
      <c r="G80" s="449"/>
      <c r="H80" s="472"/>
      <c r="I80" s="3665">
        <f>INDEX(TEMPLATE_NUMBER_POINT_FHD,B80,MATCH(TEMPLATE_SPHERE,TEMPLATE_SPHERE_LIST_FOR_NOTE,0))</f>
        <v>0</v>
      </c>
      <c r="J80" s="3665">
        <f>INDEX(TEMPLATE_DATA_POINT_FHD,B80,MATCH(TEMPLATE_SPHERE,TEMPLATE_SPHERE_LIST_FOR_NOTE,0))</f>
        <v>0</v>
      </c>
      <c r="K80" s="3665">
        <f>INDEX(TEMPLATE_NOTE_POINT_FHD,B80,MATCH(TEMPLATE_SPHERE,TEMPLATE_SPHERE_LIST_FOR_NOTE,0))</f>
        <v>0</v>
      </c>
      <c r="L80" s="3659" t="str">
        <f>IF(I80=0,"",I80)</f>
        <v/>
      </c>
      <c r="M80" s="3659" t="str">
        <f>IF(J80=0,"",J80)</f>
        <v/>
      </c>
      <c r="N80" s="3659" t="str">
        <f>IF(K80=0,"",K80)</f>
        <v/>
      </c>
      <c r="O80" s="470" t="s">
        <v>134</v>
      </c>
      <c r="P80" s="470"/>
      <c r="Q80" s="470"/>
      <c r="R80" s="470"/>
      <c r="S80" s="470"/>
      <c r="T80" s="449" t="s">
        <v>2207</v>
      </c>
      <c r="U80" s="449"/>
      <c r="V80" s="449"/>
      <c r="W80" s="449"/>
      <c r="X80" s="449"/>
      <c r="Y80" s="456"/>
      <c r="Z80" s="438" t="s">
        <v>2208</v>
      </c>
      <c r="AA80" s="3656"/>
      <c r="AB80" s="438"/>
      <c r="AC80" s="438"/>
      <c r="AD80" s="438"/>
    </row>
    <row customHeight="1" ht="36">
      <c r="A81" s="3658"/>
      <c r="B81" s="3660">
        <v>64</v>
      </c>
      <c r="C81" s="449" t="s">
        <v>2185</v>
      </c>
      <c r="D81" s="467"/>
      <c r="E81" s="449"/>
      <c r="F81" s="449"/>
      <c r="G81" s="449"/>
      <c r="H81" s="472"/>
      <c r="I81" s="3665">
        <f>INDEX(TEMPLATE_NUMBER_POINT_FHD,B81,MATCH(TEMPLATE_SPHERE,TEMPLATE_SPHERE_LIST_FOR_NOTE,0))</f>
        <v>0</v>
      </c>
      <c r="J81" s="3665">
        <f>INDEX(TEMPLATE_DATA_POINT_FHD,B81,MATCH(TEMPLATE_SPHERE,TEMPLATE_SPHERE_LIST_FOR_NOTE,0))</f>
        <v>0</v>
      </c>
      <c r="K81" s="3665">
        <f>INDEX(TEMPLATE_NOTE_POINT_FHD,B81,MATCH(TEMPLATE_SPHERE,TEMPLATE_SPHERE_LIST_FOR_NOTE,0))</f>
        <v>0</v>
      </c>
      <c r="L81" s="3659" t="str">
        <f>IF(I81=0,"",I81)</f>
        <v/>
      </c>
      <c r="M81" s="3659" t="str">
        <f>IF(J81=0,"",J81)</f>
        <v/>
      </c>
      <c r="N81" s="3659" t="str">
        <f>IF(K81=0,"",K81)</f>
        <v/>
      </c>
      <c r="O81" s="470" t="s">
        <v>2091</v>
      </c>
      <c r="P81" s="470"/>
      <c r="Q81" s="470"/>
      <c r="R81" s="470"/>
      <c r="S81" s="470"/>
      <c r="T81" s="449" t="s">
        <v>2209</v>
      </c>
      <c r="U81" s="449"/>
      <c r="V81" s="449"/>
      <c r="W81" s="449"/>
      <c r="X81" s="449"/>
      <c r="Y81" s="456"/>
      <c r="Z81" s="438" t="s">
        <v>2210</v>
      </c>
      <c r="AA81" s="3656"/>
      <c r="AB81" s="438"/>
      <c r="AC81" s="438"/>
      <c r="AD81" s="438"/>
    </row>
    <row customHeight="1" ht="90">
      <c r="A82" s="3658"/>
      <c r="B82" s="3660">
        <v>65</v>
      </c>
      <c r="C82" s="449" t="s">
        <v>2194</v>
      </c>
      <c r="D82" s="467"/>
      <c r="E82" s="449"/>
      <c r="F82" s="449"/>
      <c r="G82" s="449"/>
      <c r="H82" s="472"/>
      <c r="I82" s="3665">
        <f>INDEX(TEMPLATE_NUMBER_POINT_FHD,B82,MATCH(TEMPLATE_SPHERE,TEMPLATE_SPHERE_LIST_FOR_NOTE,0))</f>
        <v>0</v>
      </c>
      <c r="J82" s="3665">
        <f>INDEX(TEMPLATE_DATA_POINT_FHD,B82,MATCH(TEMPLATE_SPHERE,TEMPLATE_SPHERE_LIST_FOR_NOTE,0))</f>
        <v>0</v>
      </c>
      <c r="K82" s="3665">
        <f>INDEX(TEMPLATE_NOTE_POINT_FHD,B82,MATCH(TEMPLATE_SPHERE,TEMPLATE_SPHERE_LIST_FOR_NOTE,0))</f>
        <v>0</v>
      </c>
      <c r="L82" s="3659" t="str">
        <f>IF(I82=0,"",I82)</f>
        <v/>
      </c>
      <c r="M82" s="3659" t="str">
        <f>IF(J82=0,"",J82)</f>
        <v/>
      </c>
      <c r="N82" s="3659" t="str">
        <f>IF(K82=0,"",K82)</f>
        <v/>
      </c>
      <c r="O82" s="470" t="s">
        <v>166</v>
      </c>
      <c r="P82" s="470"/>
      <c r="Q82" s="470"/>
      <c r="R82" s="470"/>
      <c r="S82" s="470"/>
      <c r="T82" s="449" t="s">
        <v>2211</v>
      </c>
      <c r="U82" s="449"/>
      <c r="V82" s="449"/>
      <c r="W82" s="449"/>
      <c r="X82" s="449"/>
      <c r="Y82" s="456"/>
      <c r="Z82" s="438" t="s">
        <v>2212</v>
      </c>
      <c r="AA82" s="3656"/>
      <c r="AB82" s="438"/>
      <c r="AC82" s="438"/>
      <c r="AD82" s="438"/>
    </row>
    <row customHeight="1" ht="9">
      <c r="A83" s="3658"/>
      <c r="B83" s="3660">
        <v>66</v>
      </c>
      <c r="C83" s="449"/>
      <c r="D83" s="467"/>
      <c r="E83" s="449"/>
      <c r="F83" s="449"/>
      <c r="G83" s="449"/>
      <c r="H83" s="472"/>
      <c r="I83" s="3665">
        <f>INDEX(TEMPLATE_NUMBER_POINT_FHD,B83,MATCH(TEMPLATE_SPHERE,TEMPLATE_SPHERE_LIST_FOR_NOTE,0))</f>
        <v>0</v>
      </c>
      <c r="J83" s="3665">
        <f>INDEX(TEMPLATE_DATA_POINT_FHD,B83,MATCH(TEMPLATE_SPHERE,TEMPLATE_SPHERE_LIST_FOR_NOTE,0))</f>
        <v>0</v>
      </c>
      <c r="K83" s="3665">
        <f>INDEX(TEMPLATE_NOTE_POINT_FHD,B83,MATCH(TEMPLATE_SPHERE,TEMPLATE_SPHERE_LIST_FOR_NOTE,0))</f>
        <v>0</v>
      </c>
      <c r="L83" s="3659" t="str">
        <f>IF(I83=0,"",I83)</f>
        <v/>
      </c>
      <c r="M83" s="3659" t="str">
        <f>IF(J83=0,"",J83)</f>
        <v/>
      </c>
      <c r="N83" s="3659" t="str">
        <f>IF(K83=0,"",K83)</f>
        <v/>
      </c>
      <c r="O83" s="470" t="s">
        <v>2100</v>
      </c>
      <c r="P83" s="470"/>
      <c r="Q83" s="470"/>
      <c r="R83" s="470"/>
      <c r="S83" s="470"/>
      <c r="T83" s="449" t="s">
        <v>2213</v>
      </c>
      <c r="U83" s="449"/>
      <c r="V83" s="449"/>
      <c r="W83" s="449"/>
      <c r="X83" s="449"/>
      <c r="Y83" s="456"/>
      <c r="Z83" s="438"/>
      <c r="AA83" s="3656"/>
      <c r="AB83" s="438"/>
      <c r="AC83" s="438"/>
      <c r="AD83" s="438"/>
    </row>
    <row customHeight="1" ht="54">
      <c r="A84" s="3658"/>
      <c r="B84" s="3660">
        <v>67</v>
      </c>
      <c r="C84" s="449"/>
      <c r="D84" s="467"/>
      <c r="E84" s="449"/>
      <c r="F84" s="449"/>
      <c r="G84" s="449"/>
      <c r="H84" s="472"/>
      <c r="I84" s="3665">
        <f>INDEX(TEMPLATE_NUMBER_POINT_FHD,B84,MATCH(TEMPLATE_SPHERE,TEMPLATE_SPHERE_LIST_FOR_NOTE,0))</f>
        <v>0</v>
      </c>
      <c r="J84" s="3665">
        <f>INDEX(TEMPLATE_DATA_POINT_FHD,B84,MATCH(TEMPLATE_SPHERE,TEMPLATE_SPHERE_LIST_FOR_NOTE,0))</f>
        <v>0</v>
      </c>
      <c r="K84" s="3665">
        <f>INDEX(TEMPLATE_NOTE_POINT_FHD,B84,MATCH(TEMPLATE_SPHERE,TEMPLATE_SPHERE_LIST_FOR_NOTE,0))</f>
        <v>0</v>
      </c>
      <c r="L84" s="3659" t="str">
        <f>IF(I84=0,"",I84)</f>
        <v/>
      </c>
      <c r="M84" s="3659" t="str">
        <f>IF(J84=0,"",J84)</f>
        <v/>
      </c>
      <c r="N84" s="3659" t="str">
        <f>IF(K84=0,"",K84)</f>
        <v/>
      </c>
      <c r="O84" s="470" t="s">
        <v>2214</v>
      </c>
      <c r="P84" s="470"/>
      <c r="Q84" s="470"/>
      <c r="R84" s="470"/>
      <c r="S84" s="470"/>
      <c r="T84" s="449" t="s">
        <v>2215</v>
      </c>
      <c r="U84" s="449"/>
      <c r="V84" s="449"/>
      <c r="W84" s="449"/>
      <c r="X84" s="449"/>
      <c r="Y84" s="456"/>
      <c r="Z84" s="438"/>
      <c r="AA84" s="3656"/>
      <c r="AB84" s="438"/>
      <c r="AC84" s="438"/>
      <c r="AD84" s="438"/>
    </row>
    <row customHeight="1" ht="9">
      <c r="A85" s="3658"/>
      <c r="B85" s="3660">
        <v>68</v>
      </c>
      <c r="C85" s="449"/>
      <c r="D85" s="467"/>
      <c r="E85" s="449"/>
      <c r="F85" s="449"/>
      <c r="G85" s="449"/>
      <c r="H85" s="472"/>
      <c r="I85" s="3665">
        <f>INDEX(TEMPLATE_NUMBER_POINT_FHD,B85,MATCH(TEMPLATE_SPHERE,TEMPLATE_SPHERE_LIST_FOR_NOTE,0))</f>
        <v>0</v>
      </c>
      <c r="J85" s="3665">
        <f>INDEX(TEMPLATE_DATA_POINT_FHD,B85,MATCH(TEMPLATE_SPHERE,TEMPLATE_SPHERE_LIST_FOR_NOTE,0))</f>
        <v>0</v>
      </c>
      <c r="K85" s="3665">
        <f>INDEX(TEMPLATE_NOTE_POINT_FHD,B85,MATCH(TEMPLATE_SPHERE,TEMPLATE_SPHERE_LIST_FOR_NOTE,0))</f>
        <v>0</v>
      </c>
      <c r="L85" s="3659" t="str">
        <f>IF(I85=0,"",I85)</f>
        <v/>
      </c>
      <c r="M85" s="3659" t="str">
        <f>IF(J85=0,"",J85)</f>
        <v/>
      </c>
      <c r="N85" s="3659" t="str">
        <f>IF(K85=0,"",K85)</f>
        <v/>
      </c>
      <c r="O85" s="470" t="s">
        <v>2104</v>
      </c>
      <c r="P85" s="470"/>
      <c r="Q85" s="470"/>
      <c r="R85" s="470"/>
      <c r="S85" s="470"/>
      <c r="T85" s="449" t="s">
        <v>2216</v>
      </c>
      <c r="U85" s="449"/>
      <c r="V85" s="449"/>
      <c r="W85" s="449"/>
      <c r="X85" s="449"/>
      <c r="Y85" s="456"/>
      <c r="Z85" s="438"/>
      <c r="AA85" s="3656"/>
      <c r="AB85" s="438"/>
      <c r="AC85" s="438"/>
      <c r="AD85" s="438"/>
    </row>
    <row customHeight="1" ht="27">
      <c r="A86" s="3658"/>
      <c r="B86" s="3660">
        <v>69</v>
      </c>
      <c r="C86" s="449"/>
      <c r="D86" s="467"/>
      <c r="E86" s="449"/>
      <c r="F86" s="449"/>
      <c r="G86" s="449"/>
      <c r="H86" s="472"/>
      <c r="I86" s="3665">
        <f>INDEX(TEMPLATE_NUMBER_POINT_FHD,B86,MATCH(TEMPLATE_SPHERE,TEMPLATE_SPHERE_LIST_FOR_NOTE,0))</f>
        <v>0</v>
      </c>
      <c r="J86" s="3665">
        <f>INDEX(TEMPLATE_DATA_POINT_FHD,B86,MATCH(TEMPLATE_SPHERE,TEMPLATE_SPHERE_LIST_FOR_NOTE,0))</f>
        <v>0</v>
      </c>
      <c r="K86" s="3665">
        <f>INDEX(TEMPLATE_NOTE_POINT_FHD,B86,MATCH(TEMPLATE_SPHERE,TEMPLATE_SPHERE_LIST_FOR_NOTE,0))</f>
        <v>0</v>
      </c>
      <c r="L86" s="3659" t="str">
        <f>IF(I86=0,"",I86)</f>
        <v/>
      </c>
      <c r="M86" s="3659" t="str">
        <f>IF(J86=0,"",J86)</f>
        <v/>
      </c>
      <c r="N86" s="3659" t="str">
        <f>IF(K86=0,"",K86)</f>
        <v/>
      </c>
      <c r="O86" s="470" t="s">
        <v>2217</v>
      </c>
      <c r="P86" s="470"/>
      <c r="Q86" s="470"/>
      <c r="R86" s="470"/>
      <c r="S86" s="470"/>
      <c r="T86" s="449" t="s">
        <v>2218</v>
      </c>
      <c r="U86" s="449"/>
      <c r="V86" s="449"/>
      <c r="W86" s="449"/>
      <c r="X86" s="449"/>
      <c r="Y86" s="456"/>
      <c r="Z86" s="438"/>
      <c r="AA86" s="3656"/>
      <c r="AB86" s="438"/>
      <c r="AC86" s="438"/>
      <c r="AD86" s="438"/>
    </row>
    <row customHeight="1" ht="36">
      <c r="A87" s="3658"/>
      <c r="B87" s="3660">
        <v>70</v>
      </c>
      <c r="C87" s="449" t="s">
        <v>2219</v>
      </c>
      <c r="D87" s="467"/>
      <c r="E87" s="449"/>
      <c r="F87" s="449"/>
      <c r="G87" s="449"/>
      <c r="H87" s="472"/>
      <c r="I87" s="3665">
        <f>INDEX(TEMPLATE_NUMBER_POINT_FHD,B87,MATCH(TEMPLATE_SPHERE,TEMPLATE_SPHERE_LIST_FOR_NOTE,0))</f>
        <v>0</v>
      </c>
      <c r="J87" s="3665">
        <f>INDEX(TEMPLATE_DATA_POINT_FHD,B87,MATCH(TEMPLATE_SPHERE,TEMPLATE_SPHERE_LIST_FOR_NOTE,0))</f>
        <v>0</v>
      </c>
      <c r="K87" s="3665">
        <f>INDEX(TEMPLATE_NOTE_POINT_FHD,B87,MATCH(TEMPLATE_SPHERE,TEMPLATE_SPHERE_LIST_FOR_NOTE,0))</f>
        <v>0</v>
      </c>
      <c r="L87" s="3659" t="str">
        <f>IF(I87=0,"",I87)</f>
        <v/>
      </c>
      <c r="M87" s="3659" t="str">
        <f>IF(J87=0,"",J87)</f>
        <v/>
      </c>
      <c r="N87" s="3659" t="str">
        <f>IF(K87=0,"",K87)</f>
        <v/>
      </c>
      <c r="O87" s="470" t="s">
        <v>167</v>
      </c>
      <c r="P87" s="470"/>
      <c r="Q87" s="470"/>
      <c r="R87" s="470"/>
      <c r="S87" s="470"/>
      <c r="T87" s="449" t="s">
        <v>2220</v>
      </c>
      <c r="U87" s="449"/>
      <c r="V87" s="449"/>
      <c r="W87" s="449"/>
      <c r="X87" s="449"/>
      <c r="Y87" s="456"/>
      <c r="Z87" s="438"/>
      <c r="AA87" s="3656"/>
      <c r="AB87" s="438"/>
      <c r="AC87" s="438"/>
      <c r="AD87" s="438"/>
    </row>
    <row customHeight="1" ht="18">
      <c r="A88" s="3658"/>
      <c r="B88" s="3660">
        <v>71</v>
      </c>
      <c r="C88" s="449" t="s">
        <v>2221</v>
      </c>
      <c r="D88" s="467"/>
      <c r="E88" s="449"/>
      <c r="F88" s="449"/>
      <c r="G88" s="449"/>
      <c r="H88" s="472"/>
      <c r="I88" s="3665">
        <f>INDEX(TEMPLATE_NUMBER_POINT_FHD,B88,MATCH(TEMPLATE_SPHERE,TEMPLATE_SPHERE_LIST_FOR_NOTE,0))</f>
        <v>0</v>
      </c>
      <c r="J88" s="3665">
        <f>INDEX(TEMPLATE_DATA_POINT_FHD,B88,MATCH(TEMPLATE_SPHERE,TEMPLATE_SPHERE_LIST_FOR_NOTE,0))</f>
        <v>0</v>
      </c>
      <c r="K88" s="3665">
        <f>INDEX(TEMPLATE_NOTE_POINT_FHD,B88,MATCH(TEMPLATE_SPHERE,TEMPLATE_SPHERE_LIST_FOR_NOTE,0))</f>
        <v>0</v>
      </c>
      <c r="L88" s="3659" t="str">
        <f>IF(I88=0,"",I88)</f>
        <v/>
      </c>
      <c r="M88" s="3659" t="str">
        <f>IF(J88=0,"",J88)</f>
        <v/>
      </c>
      <c r="N88" s="3659" t="str">
        <f>IF(K88=0,"",K88)</f>
        <v/>
      </c>
      <c r="O88" s="470" t="s">
        <v>168</v>
      </c>
      <c r="P88" s="470"/>
      <c r="Q88" s="470"/>
      <c r="R88" s="470"/>
      <c r="S88" s="470"/>
      <c r="T88" s="449" t="s">
        <v>690</v>
      </c>
      <c r="U88" s="449"/>
      <c r="V88" s="449"/>
      <c r="W88" s="449"/>
      <c r="X88" s="449"/>
      <c r="Y88" s="456"/>
      <c r="Z88" s="438"/>
      <c r="AA88" s="3656"/>
      <c r="AB88" s="438"/>
      <c r="AC88" s="438"/>
      <c r="AD88" s="438"/>
    </row>
    <row customHeight="1" ht="18">
      <c r="A89" s="3658"/>
      <c r="B89" s="3660">
        <v>72</v>
      </c>
      <c r="C89" s="449" t="s">
        <v>2222</v>
      </c>
      <c r="D89" s="467" t="s">
        <v>2219</v>
      </c>
      <c r="E89" s="449" t="s">
        <v>2219</v>
      </c>
      <c r="F89" s="449" t="s">
        <v>2185</v>
      </c>
      <c r="G89" s="449"/>
      <c r="H89" s="472"/>
      <c r="I89" s="3665" t="str">
        <f>INDEX(TEMPLATE_NUMBER_POINT_FHD,B89,MATCH(TEMPLATE_SPHERE,TEMPLATE_SPHERE_LIST_FOR_NOTE,0))</f>
        <v>12</v>
      </c>
      <c r="J89" s="3665" t="str">
        <f>INDEX(TEMPLATE_DATA_POINT_FHD,B89,MATCH(TEMPLATE_SPHERE,TEMPLATE_SPHERE_LIST_FOR_NOTE,0))</f>
        <v>Среднесписочная численность основного производственного персонала</v>
      </c>
      <c r="K89" s="3665">
        <f>INDEX(TEMPLATE_NOTE_POINT_FHD,B89,MATCH(TEMPLATE_SPHERE,TEMPLATE_SPHERE_LIST_FOR_NOTE,0))</f>
        <v>0</v>
      </c>
      <c r="L89" s="3659" t="str">
        <f>IF(I89=0,"",I89)</f>
        <v>12</v>
      </c>
      <c r="M89" s="3659" t="str">
        <f>IF(J89=0,"",J89)</f>
        <v>Среднесписочная численность основного производственного персонала</v>
      </c>
      <c r="N89" s="3659" t="str">
        <f>IF(K89=0,"",K89)</f>
        <v/>
      </c>
      <c r="O89" s="470" t="s">
        <v>169</v>
      </c>
      <c r="P89" s="470" t="s">
        <v>168</v>
      </c>
      <c r="Q89" s="470" t="s">
        <v>168</v>
      </c>
      <c r="R89" s="470" t="s">
        <v>166</v>
      </c>
      <c r="S89" s="470"/>
      <c r="T89" s="449" t="s">
        <v>698</v>
      </c>
      <c r="U89" s="449" t="s">
        <v>698</v>
      </c>
      <c r="V89" s="449" t="s">
        <v>698</v>
      </c>
      <c r="W89" s="449" t="s">
        <v>698</v>
      </c>
      <c r="X89" s="449"/>
      <c r="Y89" s="456"/>
      <c r="Z89" s="438"/>
      <c r="AA89" s="3656"/>
      <c r="AB89" s="438"/>
      <c r="AC89" s="438"/>
      <c r="AD89" s="438"/>
    </row>
    <row customHeight="1" ht="27">
      <c r="A90" s="3658"/>
      <c r="B90" s="3660">
        <v>73</v>
      </c>
      <c r="C90" s="449" t="s">
        <v>2223</v>
      </c>
      <c r="D90" s="467"/>
      <c r="E90" s="449"/>
      <c r="F90" s="449"/>
      <c r="G90" s="449"/>
      <c r="H90" s="472"/>
      <c r="I90" s="3665">
        <f>INDEX(TEMPLATE_NUMBER_POINT_FHD,B90,MATCH(TEMPLATE_SPHERE,TEMPLATE_SPHERE_LIST_FOR_NOTE,0))</f>
        <v>0</v>
      </c>
      <c r="J90" s="3665">
        <f>INDEX(TEMPLATE_DATA_POINT_FHD,B90,MATCH(TEMPLATE_SPHERE,TEMPLATE_SPHERE_LIST_FOR_NOTE,0))</f>
        <v>0</v>
      </c>
      <c r="K90" s="3665">
        <f>INDEX(TEMPLATE_NOTE_POINT_FHD,B90,MATCH(TEMPLATE_SPHERE,TEMPLATE_SPHERE_LIST_FOR_NOTE,0))</f>
        <v>0</v>
      </c>
      <c r="L90" s="3659" t="str">
        <f>IF(I90=0,"",I90)</f>
        <v/>
      </c>
      <c r="M90" s="3659" t="str">
        <f>IF(J90=0,"",J90)</f>
        <v/>
      </c>
      <c r="N90" s="3659" t="str">
        <f>IF(K90=0,"",K90)</f>
        <v/>
      </c>
      <c r="O90" s="470" t="s">
        <v>170</v>
      </c>
      <c r="P90" s="470"/>
      <c r="Q90" s="470"/>
      <c r="R90" s="470"/>
      <c r="S90" s="470"/>
      <c r="T90" s="449" t="s">
        <v>700</v>
      </c>
      <c r="U90" s="449"/>
      <c r="V90" s="449"/>
      <c r="W90" s="449"/>
      <c r="X90" s="449"/>
      <c r="Y90" s="456"/>
      <c r="Z90" s="438"/>
      <c r="AA90" s="3656"/>
      <c r="AB90" s="438"/>
      <c r="AC90" s="438"/>
      <c r="AD90" s="438"/>
    </row>
    <row customHeight="1" ht="18">
      <c r="A91" s="3658"/>
      <c r="B91" s="3660">
        <v>74</v>
      </c>
      <c r="C91" s="449"/>
      <c r="D91" s="467" t="s">
        <v>2221</v>
      </c>
      <c r="E91" s="449" t="s">
        <v>2221</v>
      </c>
      <c r="F91" s="449"/>
      <c r="G91" s="449"/>
      <c r="H91" s="472"/>
      <c r="I91" s="3665" t="str">
        <f>INDEX(TEMPLATE_NUMBER_POINT_FHD,B91,MATCH(TEMPLATE_SPHERE,TEMPLATE_SPHERE_LIST_FOR_NOTE,0))</f>
        <v>13</v>
      </c>
      <c r="J91" s="3665" t="str">
        <f>INDEX(TEMPLATE_DATA_POINT_FHD,B91,MATCH(TEMPLATE_SPHERE,TEMPLATE_SPHERE_LIST_FOR_NOTE,0))</f>
        <v>Удельный расход электрической энергии на подачу воды в сеть</v>
      </c>
      <c r="K91" s="3665">
        <f>INDEX(TEMPLATE_NOTE_POINT_FHD,B91,MATCH(TEMPLATE_SPHERE,TEMPLATE_SPHERE_LIST_FOR_NOTE,0))</f>
        <v>0</v>
      </c>
      <c r="L91" s="3659" t="str">
        <f>IF(I91=0,"",I91)</f>
        <v>13</v>
      </c>
      <c r="M91" s="3659" t="str">
        <f>IF(J91=0,"",J91)</f>
        <v>Удельный расход электрической энергии на подачу воды в сеть</v>
      </c>
      <c r="N91" s="3659" t="str">
        <f>IF(K91=0,"",K91)</f>
        <v/>
      </c>
      <c r="O91" s="470"/>
      <c r="P91" s="470" t="s">
        <v>169</v>
      </c>
      <c r="Q91" s="470" t="s">
        <v>169</v>
      </c>
      <c r="R91" s="470"/>
      <c r="S91" s="470"/>
      <c r="T91" s="449"/>
      <c r="U91" s="449" t="s">
        <v>2224</v>
      </c>
      <c r="V91" s="449" t="s">
        <v>2224</v>
      </c>
      <c r="W91" s="449"/>
      <c r="X91" s="449"/>
      <c r="Y91" s="456"/>
      <c r="Z91" s="438"/>
      <c r="AA91" s="3656"/>
      <c r="AB91" s="438"/>
      <c r="AC91" s="438"/>
      <c r="AD91" s="438"/>
    </row>
    <row customHeight="1" ht="27">
      <c r="A92" s="3658"/>
      <c r="B92" s="3660">
        <v>75</v>
      </c>
      <c r="C92" s="449"/>
      <c r="D92" s="467" t="s">
        <v>2222</v>
      </c>
      <c r="E92" s="449"/>
      <c r="F92" s="449"/>
      <c r="G92" s="449"/>
      <c r="H92" s="472"/>
      <c r="I92" s="3665">
        <f>INDEX(TEMPLATE_NUMBER_POINT_FHD,B92,MATCH(TEMPLATE_SPHERE,TEMPLATE_SPHERE_LIST_FOR_NOTE,0))</f>
        <v>0</v>
      </c>
      <c r="J92" s="3665">
        <f>INDEX(TEMPLATE_DATA_POINT_FHD,B92,MATCH(TEMPLATE_SPHERE,TEMPLATE_SPHERE_LIST_FOR_NOTE,0))</f>
        <v>0</v>
      </c>
      <c r="K92" s="3665">
        <f>INDEX(TEMPLATE_NOTE_POINT_FHD,B92,MATCH(TEMPLATE_SPHERE,TEMPLATE_SPHERE_LIST_FOR_NOTE,0))</f>
        <v>0</v>
      </c>
      <c r="L92" s="3659" t="str">
        <f>IF(I92=0,"",I92)</f>
        <v/>
      </c>
      <c r="M92" s="3659" t="str">
        <f>IF(J92=0,"",J92)</f>
        <v/>
      </c>
      <c r="N92" s="3659" t="str">
        <f>IF(K92=0,"",K92)</f>
        <v/>
      </c>
      <c r="O92" s="470"/>
      <c r="P92" s="470" t="s">
        <v>170</v>
      </c>
      <c r="Q92" s="470"/>
      <c r="R92" s="470"/>
      <c r="S92" s="470"/>
      <c r="T92" s="449"/>
      <c r="U92" s="449" t="s">
        <v>2225</v>
      </c>
      <c r="V92" s="449"/>
      <c r="W92" s="449"/>
      <c r="X92" s="449"/>
      <c r="Y92" s="456"/>
      <c r="Z92" s="438"/>
      <c r="AA92" s="3656" t="s">
        <v>2226</v>
      </c>
      <c r="AB92" s="438"/>
      <c r="AC92" s="438"/>
      <c r="AD92" s="438"/>
    </row>
    <row customHeight="1" ht="27">
      <c r="A93" s="3658"/>
      <c r="B93" s="3660">
        <v>76</v>
      </c>
      <c r="C93" s="449"/>
      <c r="D93" s="467"/>
      <c r="E93" s="449"/>
      <c r="F93" s="449"/>
      <c r="G93" s="449"/>
      <c r="H93" s="472"/>
      <c r="I93" s="3665">
        <f>INDEX(TEMPLATE_NUMBER_POINT_FHD,B93,MATCH(TEMPLATE_SPHERE,TEMPLATE_SPHERE_LIST_FOR_NOTE,0))</f>
        <v>0</v>
      </c>
      <c r="J93" s="3665">
        <f>INDEX(TEMPLATE_DATA_POINT_FHD,B93,MATCH(TEMPLATE_SPHERE,TEMPLATE_SPHERE_LIST_FOR_NOTE,0))</f>
        <v>0</v>
      </c>
      <c r="K93" s="3665">
        <f>INDEX(TEMPLATE_NOTE_POINT_FHD,B93,MATCH(TEMPLATE_SPHERE,TEMPLATE_SPHERE_LIST_FOR_NOTE,0))</f>
        <v>0</v>
      </c>
      <c r="L93" s="3659" t="str">
        <f>IF(I93=0,"",I93)</f>
        <v/>
      </c>
      <c r="M93" s="3659" t="str">
        <f>IF(J93=0,"",J93)</f>
        <v/>
      </c>
      <c r="N93" s="3659" t="str">
        <f>IF(K93=0,"",K93)</f>
        <v/>
      </c>
      <c r="O93" s="470"/>
      <c r="P93" s="470" t="s">
        <v>2132</v>
      </c>
      <c r="Q93" s="470"/>
      <c r="R93" s="470"/>
      <c r="S93" s="470"/>
      <c r="T93" s="449"/>
      <c r="U93" s="449" t="s">
        <v>2227</v>
      </c>
      <c r="V93" s="449"/>
      <c r="W93" s="449"/>
      <c r="X93" s="449"/>
      <c r="Y93" s="456"/>
      <c r="Z93" s="438"/>
      <c r="AA93" s="3656" t="s">
        <v>2228</v>
      </c>
      <c r="AB93" s="438"/>
      <c r="AC93" s="438"/>
      <c r="AD93" s="438"/>
    </row>
    <row customHeight="1" ht="45">
      <c r="A94" s="3658"/>
      <c r="B94" s="3660">
        <v>77</v>
      </c>
      <c r="C94" s="449"/>
      <c r="D94" s="467" t="s">
        <v>2223</v>
      </c>
      <c r="E94" s="449"/>
      <c r="F94" s="449"/>
      <c r="G94" s="449"/>
      <c r="H94" s="472"/>
      <c r="I94" s="3665">
        <f>INDEX(TEMPLATE_NUMBER_POINT_FHD,B94,MATCH(TEMPLATE_SPHERE,TEMPLATE_SPHERE_LIST_FOR_NOTE,0))</f>
        <v>0</v>
      </c>
      <c r="J94" s="3665">
        <f>INDEX(TEMPLATE_DATA_POINT_FHD,B94,MATCH(TEMPLATE_SPHERE,TEMPLATE_SPHERE_LIST_FOR_NOTE,0))</f>
        <v>0</v>
      </c>
      <c r="K94" s="3665">
        <f>INDEX(TEMPLATE_NOTE_POINT_FHD,B94,MATCH(TEMPLATE_SPHERE,TEMPLATE_SPHERE_LIST_FOR_NOTE,0))</f>
        <v>0</v>
      </c>
      <c r="L94" s="3659" t="str">
        <f>IF(I94=0,"",I94)</f>
        <v/>
      </c>
      <c r="M94" s="3659" t="str">
        <f>IF(J94=0,"",J94)</f>
        <v/>
      </c>
      <c r="N94" s="3659" t="str">
        <f>IF(K94=0,"",K94)</f>
        <v/>
      </c>
      <c r="O94" s="470"/>
      <c r="P94" s="470" t="s">
        <v>1486</v>
      </c>
      <c r="Q94" s="470"/>
      <c r="R94" s="470"/>
      <c r="S94" s="470"/>
      <c r="T94" s="449"/>
      <c r="U94" s="449" t="s">
        <v>2229</v>
      </c>
      <c r="V94" s="449"/>
      <c r="W94" s="449"/>
      <c r="X94" s="449"/>
      <c r="Y94" s="456"/>
      <c r="Z94" s="438"/>
      <c r="AA94" s="3656" t="s">
        <v>2230</v>
      </c>
      <c r="AB94" s="438"/>
      <c r="AC94" s="438"/>
      <c r="AD94" s="438"/>
    </row>
    <row customHeight="1" ht="99">
      <c r="A95" s="3658"/>
      <c r="B95" s="3660">
        <v>78</v>
      </c>
      <c r="C95" s="449" t="s">
        <v>2231</v>
      </c>
      <c r="D95" s="467"/>
      <c r="E95" s="449"/>
      <c r="F95" s="449"/>
      <c r="G95" s="449"/>
      <c r="H95" s="472"/>
      <c r="I95" s="3665">
        <f>INDEX(TEMPLATE_NUMBER_POINT_FHD,B95,MATCH(TEMPLATE_SPHERE,TEMPLATE_SPHERE_LIST_FOR_NOTE,0))</f>
        <v>0</v>
      </c>
      <c r="J95" s="3665">
        <f>INDEX(TEMPLATE_DATA_POINT_FHD,B95,MATCH(TEMPLATE_SPHERE,TEMPLATE_SPHERE_LIST_FOR_NOTE,0))</f>
        <v>0</v>
      </c>
      <c r="K95" s="3665">
        <f>INDEX(TEMPLATE_NOTE_POINT_FHD,B95,MATCH(TEMPLATE_SPHERE,TEMPLATE_SPHERE_LIST_FOR_NOTE,0))</f>
        <v>0</v>
      </c>
      <c r="L95" s="3659" t="str">
        <f>IF(I95=0,"",I95)</f>
        <v/>
      </c>
      <c r="M95" s="3659" t="str">
        <f>IF(J95=0,"",J95)</f>
        <v/>
      </c>
      <c r="N95" s="3659" t="str">
        <f>IF(K95=0,"",K95)</f>
        <v/>
      </c>
      <c r="O95" s="470" t="s">
        <v>1486</v>
      </c>
      <c r="P95" s="470"/>
      <c r="Q95" s="470"/>
      <c r="R95" s="470"/>
      <c r="S95" s="470"/>
      <c r="T95" s="449" t="s">
        <v>2232</v>
      </c>
      <c r="U95" s="449"/>
      <c r="V95" s="449"/>
      <c r="W95" s="449"/>
      <c r="X95" s="449"/>
      <c r="Y95" s="456"/>
      <c r="Z95" s="438"/>
      <c r="AA95" s="3656"/>
      <c r="AB95" s="438"/>
      <c r="AC95" s="438"/>
      <c r="AD95" s="438"/>
    </row>
    <row customHeight="1" ht="99">
      <c r="A96" s="3658"/>
      <c r="B96" s="3660">
        <v>79</v>
      </c>
      <c r="C96" s="449" t="s">
        <v>1171</v>
      </c>
      <c r="D96" s="467"/>
      <c r="E96" s="449"/>
      <c r="F96" s="449"/>
      <c r="G96" s="449"/>
      <c r="H96" s="472"/>
      <c r="I96" s="3665">
        <f>INDEX(TEMPLATE_NUMBER_POINT_FHD,B96,MATCH(TEMPLATE_SPHERE,TEMPLATE_SPHERE_LIST_FOR_NOTE,0))</f>
        <v>0</v>
      </c>
      <c r="J96" s="3665">
        <f>INDEX(TEMPLATE_DATA_POINT_FHD,B96,MATCH(TEMPLATE_SPHERE,TEMPLATE_SPHERE_LIST_FOR_NOTE,0))</f>
        <v>0</v>
      </c>
      <c r="K96" s="3665">
        <f>INDEX(TEMPLATE_NOTE_POINT_FHD,B96,MATCH(TEMPLATE_SPHERE,TEMPLATE_SPHERE_LIST_FOR_NOTE,0))</f>
        <v>0</v>
      </c>
      <c r="L96" s="3659" t="str">
        <f>IF(I96=0,"",I96)</f>
        <v/>
      </c>
      <c r="M96" s="3659" t="str">
        <f>IF(J96=0,"",J96)</f>
        <v/>
      </c>
      <c r="N96" s="3659" t="str">
        <f>IF(K96=0,"",K96)</f>
        <v/>
      </c>
      <c r="O96" s="470" t="s">
        <v>1492</v>
      </c>
      <c r="P96" s="470"/>
      <c r="Q96" s="470"/>
      <c r="R96" s="470"/>
      <c r="S96" s="470"/>
      <c r="T96" s="449" t="s">
        <v>2233</v>
      </c>
      <c r="U96" s="449"/>
      <c r="V96" s="449"/>
      <c r="W96" s="449"/>
      <c r="X96" s="449"/>
      <c r="Y96" s="456"/>
      <c r="Z96" s="438" t="s">
        <v>2234</v>
      </c>
      <c r="AA96" s="3656"/>
      <c r="AB96" s="438"/>
      <c r="AC96" s="438"/>
      <c r="AD96" s="438"/>
    </row>
    <row customHeight="1" ht="63">
      <c r="A97" s="3658"/>
      <c r="B97" s="3660">
        <v>80</v>
      </c>
      <c r="C97" s="449" t="s">
        <v>2235</v>
      </c>
      <c r="D97" s="467"/>
      <c r="E97" s="449"/>
      <c r="F97" s="449"/>
      <c r="G97" s="449"/>
      <c r="H97" s="472"/>
      <c r="I97" s="3665">
        <f>INDEX(TEMPLATE_NUMBER_POINT_FHD,B97,MATCH(TEMPLATE_SPHERE,TEMPLATE_SPHERE_LIST_FOR_NOTE,0))</f>
        <v>0</v>
      </c>
      <c r="J97" s="3665">
        <f>INDEX(TEMPLATE_DATA_POINT_FHD,B97,MATCH(TEMPLATE_SPHERE,TEMPLATE_SPHERE_LIST_FOR_NOTE,0))</f>
        <v>0</v>
      </c>
      <c r="K97" s="3665">
        <f>INDEX(TEMPLATE_NOTE_POINT_FHD,B97,MATCH(TEMPLATE_SPHERE,TEMPLATE_SPHERE_LIST_FOR_NOTE,0))</f>
        <v>0</v>
      </c>
      <c r="L97" s="3659" t="str">
        <f>IF(I97=0,"",I97)</f>
        <v/>
      </c>
      <c r="M97" s="3659" t="str">
        <f>IF(J97=0,"",J97)</f>
        <v/>
      </c>
      <c r="N97" s="3659" t="str">
        <f>IF(K97=0,"",K97)</f>
        <v/>
      </c>
      <c r="O97" s="470" t="s">
        <v>1504</v>
      </c>
      <c r="P97" s="470"/>
      <c r="Q97" s="470"/>
      <c r="R97" s="470"/>
      <c r="S97" s="470"/>
      <c r="T97" s="449" t="s">
        <v>2236</v>
      </c>
      <c r="U97" s="449"/>
      <c r="V97" s="449"/>
      <c r="W97" s="449"/>
      <c r="X97" s="449"/>
      <c r="Y97" s="456"/>
      <c r="Z97" s="438" t="s">
        <v>2237</v>
      </c>
      <c r="AA97" s="3656"/>
      <c r="AB97" s="438"/>
      <c r="AC97" s="438"/>
      <c r="AD97" s="438"/>
    </row>
    <row customHeight="1" ht="63">
      <c r="A98" s="3658"/>
      <c r="B98" s="3660">
        <v>81</v>
      </c>
      <c r="C98" s="449" t="s">
        <v>2238</v>
      </c>
      <c r="D98" s="467"/>
      <c r="E98" s="449"/>
      <c r="F98" s="449"/>
      <c r="G98" s="449"/>
      <c r="H98" s="472"/>
      <c r="I98" s="3665">
        <f>INDEX(TEMPLATE_NUMBER_POINT_FHD,B98,MATCH(TEMPLATE_SPHERE,TEMPLATE_SPHERE_LIST_FOR_NOTE,0))</f>
        <v>0</v>
      </c>
      <c r="J98" s="3665">
        <f>INDEX(TEMPLATE_DATA_POINT_FHD,B98,MATCH(TEMPLATE_SPHERE,TEMPLATE_SPHERE_LIST_FOR_NOTE,0))</f>
        <v>0</v>
      </c>
      <c r="K98" s="3665">
        <f>INDEX(TEMPLATE_NOTE_POINT_FHD,B98,MATCH(TEMPLATE_SPHERE,TEMPLATE_SPHERE_LIST_FOR_NOTE,0))</f>
        <v>0</v>
      </c>
      <c r="L98" s="3659" t="str">
        <f>IF(I98=0,"",I98)</f>
        <v/>
      </c>
      <c r="M98" s="3659" t="str">
        <f>IF(J98=0,"",J98)</f>
        <v/>
      </c>
      <c r="N98" s="3659" t="str">
        <f>IF(K98=0,"",K98)</f>
        <v/>
      </c>
      <c r="O98" s="470" t="s">
        <v>1518</v>
      </c>
      <c r="P98" s="470"/>
      <c r="Q98" s="470"/>
      <c r="R98" s="470"/>
      <c r="S98" s="470"/>
      <c r="T98" s="449" t="s">
        <v>2239</v>
      </c>
      <c r="U98" s="449"/>
      <c r="V98" s="449"/>
      <c r="W98" s="449"/>
      <c r="X98" s="449"/>
      <c r="Y98" s="456"/>
      <c r="Z98" s="438" t="s">
        <v>2237</v>
      </c>
      <c r="AA98" s="3656"/>
      <c r="AB98" s="438"/>
      <c r="AC98" s="438"/>
      <c r="AD98" s="438"/>
    </row>
    <row customHeight="1" ht="90">
      <c r="A99" s="3658"/>
      <c r="B99" s="3660">
        <v>82</v>
      </c>
      <c r="C99" s="449" t="s">
        <v>2240</v>
      </c>
      <c r="D99" s="467"/>
      <c r="E99" s="449"/>
      <c r="F99" s="449"/>
      <c r="G99" s="449"/>
      <c r="H99" s="472"/>
      <c r="I99" s="3665">
        <f>INDEX(TEMPLATE_NUMBER_POINT_FHD,B99,MATCH(TEMPLATE_SPHERE,TEMPLATE_SPHERE_LIST_FOR_NOTE,0))</f>
        <v>0</v>
      </c>
      <c r="J99" s="3665">
        <f>INDEX(TEMPLATE_DATA_POINT_FHD,B99,MATCH(TEMPLATE_SPHERE,TEMPLATE_SPHERE_LIST_FOR_NOTE,0))</f>
        <v>0</v>
      </c>
      <c r="K99" s="3665">
        <f>INDEX(TEMPLATE_NOTE_POINT_FHD,B99,MATCH(TEMPLATE_SPHERE,TEMPLATE_SPHERE_LIST_FOR_NOTE,0))</f>
        <v>0</v>
      </c>
      <c r="L99" s="3659" t="str">
        <f>IF(I99=0,"",I99)</f>
        <v/>
      </c>
      <c r="M99" s="3659" t="str">
        <f>IF(J99=0,"",J99)</f>
        <v/>
      </c>
      <c r="N99" s="3659" t="str">
        <f>IF(K99=0,"",K99)</f>
        <v/>
      </c>
      <c r="O99" s="470" t="s">
        <v>1530</v>
      </c>
      <c r="P99" s="470"/>
      <c r="Q99" s="470"/>
      <c r="R99" s="470"/>
      <c r="S99" s="470"/>
      <c r="T99" s="449" t="s">
        <v>2241</v>
      </c>
      <c r="U99" s="449"/>
      <c r="V99" s="449"/>
      <c r="W99" s="449"/>
      <c r="X99" s="449"/>
      <c r="Y99" s="456"/>
      <c r="Z99" s="438" t="s">
        <v>655</v>
      </c>
      <c r="AA99" s="3656"/>
      <c r="AB99" s="438"/>
      <c r="AC99" s="438"/>
      <c r="AD99" s="438"/>
    </row>
    <row customHeight="1" ht="27">
      <c r="A100" s="3658"/>
      <c r="B100" s="3660">
        <v>83</v>
      </c>
      <c r="C100" s="449"/>
      <c r="D100" s="467"/>
      <c r="E100" s="449"/>
      <c r="F100" s="449"/>
      <c r="G100" s="449"/>
      <c r="H100" s="472"/>
      <c r="I100" s="3665">
        <f>INDEX(TEMPLATE_NUMBER_POINT_FHD,B100,MATCH(TEMPLATE_SPHERE,TEMPLATE_SPHERE_LIST_FOR_NOTE,0))</f>
        <v>0</v>
      </c>
      <c r="J100" s="3665">
        <f>INDEX(TEMPLATE_DATA_POINT_FHD,B100,MATCH(TEMPLATE_SPHERE,TEMPLATE_SPHERE_LIST_FOR_NOTE,0))</f>
        <v>0</v>
      </c>
      <c r="K100" s="3665">
        <f>INDEX(TEMPLATE_NOTE_POINT_FHD,B100,MATCH(TEMPLATE_SPHERE,TEMPLATE_SPHERE_LIST_FOR_NOTE,0))</f>
        <v>0</v>
      </c>
      <c r="L100" s="3659" t="str">
        <f>IF(I100=0,"",I100)</f>
        <v/>
      </c>
      <c r="M100" s="3659" t="str">
        <f>IF(J100=0,"",J100)</f>
        <v/>
      </c>
      <c r="N100" s="3659" t="str">
        <f>IF(K100=0,"",K100)</f>
        <v/>
      </c>
      <c r="O100" s="470" t="s">
        <v>2242</v>
      </c>
      <c r="P100" s="470"/>
      <c r="Q100" s="470"/>
      <c r="R100" s="470"/>
      <c r="S100" s="470"/>
      <c r="T100" s="449" t="s">
        <v>2243</v>
      </c>
      <c r="U100" s="449"/>
      <c r="V100" s="449"/>
      <c r="W100" s="449"/>
      <c r="X100" s="449"/>
      <c r="Y100" s="456"/>
      <c r="Z100" s="438" t="s">
        <v>655</v>
      </c>
      <c r="AA100" s="3656"/>
      <c r="AB100" s="438"/>
      <c r="AC100" s="438"/>
      <c r="AD100" s="438"/>
    </row>
    <row customHeight="1" ht="27">
      <c r="A101" s="3658"/>
      <c r="B101" s="3660">
        <v>84</v>
      </c>
      <c r="C101" s="449"/>
      <c r="D101" s="467"/>
      <c r="E101" s="449"/>
      <c r="F101" s="449"/>
      <c r="G101" s="449"/>
      <c r="H101" s="472"/>
      <c r="I101" s="3665">
        <f>INDEX(TEMPLATE_NUMBER_POINT_FHD,B101,MATCH(TEMPLATE_SPHERE,TEMPLATE_SPHERE_LIST_FOR_NOTE,0))</f>
        <v>0</v>
      </c>
      <c r="J101" s="3665">
        <f>INDEX(TEMPLATE_DATA_POINT_FHD,B101,MATCH(TEMPLATE_SPHERE,TEMPLATE_SPHERE_LIST_FOR_NOTE,0))</f>
        <v>0</v>
      </c>
      <c r="K101" s="3665">
        <f>INDEX(TEMPLATE_NOTE_POINT_FHD,B101,MATCH(TEMPLATE_SPHERE,TEMPLATE_SPHERE_LIST_FOR_NOTE,0))</f>
        <v>0</v>
      </c>
      <c r="L101" s="3659" t="str">
        <f>IF(I101=0,"",I101)</f>
        <v/>
      </c>
      <c r="M101" s="3659" t="str">
        <f>IF(J101=0,"",J101)</f>
        <v/>
      </c>
      <c r="N101" s="3659" t="str">
        <f>IF(K101=0,"",K101)</f>
        <v/>
      </c>
      <c r="O101" s="470" t="s">
        <v>2244</v>
      </c>
      <c r="P101" s="470"/>
      <c r="Q101" s="470"/>
      <c r="R101" s="470"/>
      <c r="S101" s="470"/>
      <c r="T101" s="449" t="s">
        <v>2245</v>
      </c>
      <c r="U101" s="449"/>
      <c r="V101" s="449"/>
      <c r="W101" s="449"/>
      <c r="X101" s="449"/>
      <c r="Y101" s="456"/>
      <c r="Z101" s="438" t="s">
        <v>655</v>
      </c>
      <c r="AA101" s="3656"/>
      <c r="AB101" s="438"/>
      <c r="AC101" s="438"/>
      <c r="AD101" s="438"/>
    </row>
    <row customHeight="1" ht="9">
      <c r="A102" s="3658"/>
      <c r="B102" s="3658"/>
      <c r="C102" s="449"/>
      <c r="D102" s="449"/>
      <c r="E102" s="449"/>
      <c r="F102" s="449"/>
      <c r="G102" s="449"/>
      <c r="H102" s="472"/>
      <c r="I102" s="472"/>
      <c r="J102" s="472"/>
      <c r="K102" s="472"/>
      <c r="L102" s="472"/>
      <c r="M102" s="449"/>
      <c r="N102" s="477"/>
      <c r="O102" s="470"/>
      <c r="P102" s="470"/>
      <c r="Q102" s="470"/>
      <c r="R102" s="470"/>
      <c r="S102" s="449"/>
      <c r="T102" s="449"/>
      <c r="U102" s="449"/>
      <c r="V102" s="449"/>
      <c r="W102" s="449"/>
      <c r="X102" s="449"/>
      <c r="Y102" s="456"/>
      <c r="Z102" s="438"/>
      <c r="AA102" s="3656"/>
      <c r="AB102" s="438"/>
      <c r="AC102" s="438"/>
      <c r="AD102" s="438"/>
    </row>
    <row customHeight="1" ht="9">
      <c r="A103" s="3658"/>
      <c r="B103" s="3658"/>
      <c r="C103" s="449"/>
      <c r="D103" s="449"/>
      <c r="E103" s="449"/>
      <c r="F103" s="449"/>
      <c r="G103" s="449"/>
      <c r="H103" s="472"/>
      <c r="I103" s="472"/>
      <c r="J103" s="472"/>
      <c r="K103" s="472"/>
      <c r="L103" s="472"/>
      <c r="M103" s="449"/>
      <c r="N103" s="477"/>
      <c r="O103" s="470"/>
      <c r="P103" s="470"/>
      <c r="Q103" s="470"/>
      <c r="R103" s="470"/>
      <c r="S103" s="449"/>
      <c r="T103" s="449"/>
      <c r="U103" s="449"/>
      <c r="V103" s="449"/>
      <c r="W103" s="449"/>
      <c r="X103" s="449"/>
      <c r="Y103" s="456"/>
      <c r="Z103" s="438"/>
      <c r="AA103" s="3656"/>
      <c r="AB103" s="438"/>
      <c r="AC103" s="438"/>
      <c r="AD103" s="438"/>
    </row>
    <row customHeight="1" ht="9">
      <c r="A104" s="3658"/>
      <c r="B104" s="3658"/>
      <c r="C104" s="449"/>
      <c r="D104" s="449"/>
      <c r="E104" s="449"/>
      <c r="F104" s="449"/>
      <c r="G104" s="449"/>
      <c r="H104" s="472"/>
      <c r="I104" s="472"/>
      <c r="J104" s="472"/>
      <c r="K104" s="472"/>
      <c r="L104" s="472"/>
      <c r="M104" s="449"/>
      <c r="N104" s="477"/>
      <c r="O104" s="470"/>
      <c r="P104" s="470"/>
      <c r="Q104" s="470"/>
      <c r="R104" s="470"/>
      <c r="S104" s="449"/>
      <c r="T104" s="449"/>
      <c r="U104" s="449"/>
      <c r="V104" s="449"/>
      <c r="W104" s="449"/>
      <c r="X104" s="449"/>
      <c r="Y104" s="456"/>
      <c r="Z104" s="438"/>
      <c r="AA104" s="3656"/>
      <c r="AB104" s="438"/>
      <c r="AC104" s="438"/>
      <c r="AD104" s="438"/>
    </row>
    <row customHeight="1" ht="9">
      <c r="A105" s="3658"/>
      <c r="B105" s="3658"/>
      <c r="C105" s="449"/>
      <c r="D105" s="449"/>
      <c r="E105" s="449"/>
      <c r="F105" s="449"/>
      <c r="G105" s="449"/>
      <c r="H105" s="472"/>
      <c r="I105" s="472"/>
      <c r="J105" s="472"/>
      <c r="K105" s="472"/>
      <c r="L105" s="472"/>
      <c r="M105" s="449"/>
      <c r="N105" s="477"/>
      <c r="O105" s="470"/>
      <c r="P105" s="470"/>
      <c r="Q105" s="470"/>
      <c r="R105" s="470"/>
      <c r="S105" s="449"/>
      <c r="T105" s="449"/>
      <c r="U105" s="449"/>
      <c r="V105" s="449"/>
      <c r="W105" s="449"/>
      <c r="X105" s="449"/>
      <c r="Y105" s="456"/>
      <c r="Z105" s="438"/>
      <c r="AA105" s="3656"/>
      <c r="AB105" s="438"/>
      <c r="AC105" s="438"/>
      <c r="AD105" s="438"/>
    </row>
    <row customHeight="1" ht="9">
      <c r="A106" s="3658"/>
      <c r="B106" s="3658"/>
      <c r="C106" s="449"/>
      <c r="D106" s="449"/>
      <c r="E106" s="449"/>
      <c r="F106" s="449"/>
      <c r="G106" s="449"/>
      <c r="H106" s="472"/>
      <c r="I106" s="472"/>
      <c r="J106" s="472"/>
      <c r="K106" s="472"/>
      <c r="L106" s="472"/>
      <c r="M106" s="449"/>
      <c r="N106" s="477"/>
      <c r="O106" s="470"/>
      <c r="P106" s="470"/>
      <c r="Q106" s="470"/>
      <c r="R106" s="470"/>
      <c r="S106" s="449"/>
      <c r="T106" s="449"/>
      <c r="U106" s="449"/>
      <c r="V106" s="449"/>
      <c r="W106" s="449"/>
      <c r="X106" s="449"/>
      <c r="Y106" s="456"/>
      <c r="Z106" s="438"/>
      <c r="AA106" s="3656"/>
      <c r="AB106" s="438"/>
      <c r="AC106" s="438"/>
      <c r="AD106" s="438"/>
    </row>
    <row customHeight="1" ht="9">
      <c r="A107" s="3658"/>
      <c r="B107" s="3658"/>
      <c r="C107" s="449"/>
      <c r="D107" s="449"/>
      <c r="E107" s="449"/>
      <c r="F107" s="449"/>
      <c r="G107" s="449"/>
      <c r="H107" s="472"/>
      <c r="I107" s="472"/>
      <c r="J107" s="472"/>
      <c r="K107" s="472"/>
      <c r="L107" s="472"/>
      <c r="M107" s="449"/>
      <c r="N107" s="477"/>
      <c r="O107" s="470"/>
      <c r="P107" s="470"/>
      <c r="Q107" s="470"/>
      <c r="R107" s="470"/>
      <c r="S107" s="449"/>
      <c r="T107" s="449"/>
      <c r="U107" s="449"/>
      <c r="V107" s="449"/>
      <c r="W107" s="449"/>
      <c r="X107" s="449"/>
      <c r="Y107" s="456"/>
      <c r="Z107" s="438"/>
      <c r="AA107" s="3656"/>
      <c r="AB107" s="438"/>
      <c r="AC107" s="438"/>
      <c r="AD107" s="438"/>
    </row>
    <row customHeight="1" ht="9">
      <c r="A108" s="3658"/>
      <c r="B108" s="3658"/>
      <c r="C108" s="449"/>
      <c r="D108" s="449"/>
      <c r="E108" s="449"/>
      <c r="F108" s="449"/>
      <c r="G108" s="449"/>
      <c r="H108" s="472"/>
      <c r="I108" s="472"/>
      <c r="J108" s="472"/>
      <c r="K108" s="472"/>
      <c r="L108" s="472"/>
      <c r="M108" s="449"/>
      <c r="N108" s="477"/>
      <c r="O108" s="470"/>
      <c r="P108" s="470"/>
      <c r="Q108" s="470"/>
      <c r="R108" s="470"/>
      <c r="S108" s="449"/>
      <c r="T108" s="449"/>
      <c r="U108" s="449"/>
      <c r="V108" s="449"/>
      <c r="W108" s="449"/>
      <c r="X108" s="449"/>
      <c r="Y108" s="456"/>
      <c r="Z108" s="438"/>
      <c r="AA108" s="3656"/>
      <c r="AB108" s="438"/>
      <c r="AC108" s="438"/>
      <c r="AD108" s="438"/>
    </row>
    <row customHeight="1" ht="9">
      <c r="A109" s="3658"/>
      <c r="B109" s="3658"/>
      <c r="C109" s="449"/>
      <c r="D109" s="449"/>
      <c r="E109" s="449"/>
      <c r="F109" s="449"/>
      <c r="G109" s="449"/>
      <c r="H109" s="472"/>
      <c r="I109" s="472"/>
      <c r="J109" s="472"/>
      <c r="K109" s="472"/>
      <c r="L109" s="472"/>
      <c r="M109" s="449"/>
      <c r="N109" s="477"/>
      <c r="O109" s="470"/>
      <c r="P109" s="470"/>
      <c r="Q109" s="470"/>
      <c r="R109" s="470"/>
      <c r="S109" s="449"/>
      <c r="T109" s="449"/>
      <c r="U109" s="449"/>
      <c r="V109" s="449"/>
      <c r="W109" s="449"/>
      <c r="X109" s="449"/>
      <c r="Y109" s="456"/>
      <c r="Z109" s="438"/>
      <c r="AA109" s="3656"/>
      <c r="AB109" s="438"/>
      <c r="AC109" s="438"/>
      <c r="AD109" s="438"/>
    </row>
    <row customHeight="1" ht="9">
      <c r="A110" s="3658"/>
      <c r="B110" s="3658"/>
      <c r="C110" s="449"/>
      <c r="D110" s="449"/>
      <c r="E110" s="449"/>
      <c r="F110" s="449"/>
      <c r="G110" s="449"/>
      <c r="H110" s="472"/>
      <c r="I110" s="472"/>
      <c r="J110" s="472"/>
      <c r="K110" s="472"/>
      <c r="L110" s="472"/>
      <c r="M110" s="449"/>
      <c r="N110" s="477"/>
      <c r="O110" s="470"/>
      <c r="P110" s="470"/>
      <c r="Q110" s="470"/>
      <c r="R110" s="470"/>
      <c r="S110" s="449"/>
      <c r="T110" s="449"/>
      <c r="U110" s="449"/>
      <c r="V110" s="449"/>
      <c r="W110" s="449"/>
      <c r="X110" s="449"/>
      <c r="Y110" s="456"/>
      <c r="Z110" s="438"/>
      <c r="AA110" s="3656"/>
      <c r="AB110" s="438"/>
      <c r="AC110" s="438"/>
      <c r="AD110" s="438"/>
    </row>
    <row customHeight="1" ht="9">
      <c r="A111" s="3658"/>
      <c r="B111" s="3658"/>
      <c r="C111" s="449"/>
      <c r="D111" s="449"/>
      <c r="E111" s="449"/>
      <c r="F111" s="449"/>
      <c r="G111" s="449"/>
      <c r="H111" s="472"/>
      <c r="I111" s="472"/>
      <c r="J111" s="472"/>
      <c r="K111" s="472"/>
      <c r="L111" s="472"/>
      <c r="M111" s="449"/>
      <c r="N111" s="477"/>
      <c r="O111" s="470"/>
      <c r="P111" s="470"/>
      <c r="Q111" s="470"/>
      <c r="R111" s="470"/>
      <c r="S111" s="449"/>
      <c r="T111" s="449"/>
      <c r="U111" s="449"/>
      <c r="V111" s="449"/>
      <c r="W111" s="449"/>
      <c r="X111" s="449"/>
      <c r="Y111" s="456"/>
      <c r="Z111" s="438"/>
      <c r="AA111" s="3656"/>
      <c r="AB111" s="438"/>
      <c r="AC111" s="438"/>
      <c r="AD111" s="438"/>
    </row>
    <row customHeight="1" ht="9">
      <c r="A112" s="3658"/>
      <c r="B112" s="3658"/>
      <c r="C112" s="449"/>
      <c r="D112" s="449"/>
      <c r="E112" s="449"/>
      <c r="F112" s="449"/>
      <c r="G112" s="449"/>
      <c r="H112" s="472"/>
      <c r="I112" s="472"/>
      <c r="J112" s="472"/>
      <c r="K112" s="472"/>
      <c r="L112" s="472"/>
      <c r="M112" s="449"/>
      <c r="N112" s="477"/>
      <c r="O112" s="470"/>
      <c r="P112" s="470"/>
      <c r="Q112" s="470"/>
      <c r="R112" s="470"/>
      <c r="S112" s="449"/>
      <c r="T112" s="449"/>
      <c r="U112" s="449"/>
      <c r="V112" s="449"/>
      <c r="W112" s="449"/>
      <c r="X112" s="449"/>
      <c r="Y112" s="456"/>
      <c r="Z112" s="438"/>
      <c r="AA112" s="3656"/>
      <c r="AB112" s="438"/>
      <c r="AC112" s="438"/>
      <c r="AD112" s="438"/>
    </row>
    <row customHeight="1" ht="9">
      <c r="A113" s="3658"/>
      <c r="B113" s="3658"/>
      <c r="C113" s="449"/>
      <c r="D113" s="449"/>
      <c r="E113" s="449"/>
      <c r="F113" s="449"/>
      <c r="G113" s="449"/>
      <c r="H113" s="472"/>
      <c r="I113" s="472"/>
      <c r="J113" s="472"/>
      <c r="K113" s="472"/>
      <c r="L113" s="472"/>
      <c r="M113" s="449"/>
      <c r="N113" s="477"/>
      <c r="O113" s="470"/>
      <c r="P113" s="470"/>
      <c r="Q113" s="470"/>
      <c r="R113" s="470"/>
      <c r="S113" s="449"/>
      <c r="T113" s="449"/>
      <c r="U113" s="449"/>
      <c r="V113" s="449"/>
      <c r="W113" s="449"/>
      <c r="X113" s="449"/>
      <c r="Y113" s="456"/>
      <c r="Z113" s="438"/>
      <c r="AA113" s="3656"/>
      <c r="AB113" s="438"/>
      <c r="AC113" s="438"/>
      <c r="AD113" s="438"/>
    </row>
    <row customHeight="1" ht="9">
      <c r="A114" s="3658"/>
      <c r="B114" s="3658"/>
      <c r="C114" s="449"/>
      <c r="D114" s="449"/>
      <c r="E114" s="449"/>
      <c r="F114" s="449"/>
      <c r="G114" s="449"/>
      <c r="H114" s="472"/>
      <c r="I114" s="472"/>
      <c r="J114" s="472"/>
      <c r="K114" s="472"/>
      <c r="L114" s="472"/>
      <c r="M114" s="449"/>
      <c r="N114" s="477"/>
      <c r="O114" s="470"/>
      <c r="P114" s="470"/>
      <c r="Q114" s="470"/>
      <c r="R114" s="470"/>
      <c r="S114" s="449"/>
      <c r="T114" s="449"/>
      <c r="U114" s="449"/>
      <c r="V114" s="449"/>
      <c r="W114" s="449"/>
      <c r="X114" s="449"/>
      <c r="Y114" s="456"/>
      <c r="Z114" s="438"/>
      <c r="AA114" s="3656"/>
      <c r="AB114" s="438"/>
      <c r="AC114" s="438"/>
      <c r="AD114" s="438"/>
    </row>
    <row customHeight="1" ht="9">
      <c r="A115" s="3658"/>
      <c r="B115" s="3658"/>
      <c r="C115" s="449"/>
      <c r="D115" s="449"/>
      <c r="E115" s="449"/>
      <c r="F115" s="449"/>
      <c r="G115" s="449"/>
      <c r="H115" s="472"/>
      <c r="I115" s="472"/>
      <c r="J115" s="472"/>
      <c r="K115" s="472"/>
      <c r="L115" s="472"/>
      <c r="M115" s="449"/>
      <c r="N115" s="477"/>
      <c r="O115" s="470"/>
      <c r="P115" s="470"/>
      <c r="Q115" s="470"/>
      <c r="R115" s="470"/>
      <c r="S115" s="449"/>
      <c r="T115" s="449"/>
      <c r="U115" s="449"/>
      <c r="V115" s="449"/>
      <c r="W115" s="449"/>
      <c r="X115" s="449"/>
      <c r="Y115" s="456"/>
      <c r="Z115" s="438"/>
      <c r="AA115" s="3656"/>
      <c r="AB115" s="438"/>
      <c r="AC115" s="438"/>
      <c r="AD115" s="438"/>
    </row>
    <row customHeight="1" ht="9">
      <c r="A116" s="3658"/>
      <c r="B116" s="3658"/>
      <c r="C116" s="449"/>
      <c r="D116" s="449"/>
      <c r="E116" s="449"/>
      <c r="F116" s="449"/>
      <c r="G116" s="449"/>
      <c r="H116" s="472"/>
      <c r="I116" s="472"/>
      <c r="J116" s="472"/>
      <c r="K116" s="472"/>
      <c r="L116" s="472"/>
      <c r="M116" s="449"/>
      <c r="N116" s="477"/>
      <c r="O116" s="470"/>
      <c r="P116" s="470"/>
      <c r="Q116" s="470"/>
      <c r="R116" s="470"/>
      <c r="S116" s="449"/>
      <c r="T116" s="449"/>
      <c r="U116" s="449"/>
      <c r="V116" s="449"/>
      <c r="W116" s="449"/>
      <c r="X116" s="449"/>
      <c r="Y116" s="456"/>
      <c r="Z116" s="438"/>
      <c r="AA116" s="3656"/>
      <c r="AB116" s="438"/>
      <c r="AC116" s="438"/>
      <c r="AD116" s="438"/>
    </row>
    <row customHeight="1" ht="9">
      <c r="A117" s="3658"/>
      <c r="B117" s="3658"/>
      <c r="C117" s="449"/>
      <c r="D117" s="449"/>
      <c r="E117" s="449"/>
      <c r="F117" s="449"/>
      <c r="G117" s="449"/>
      <c r="H117" s="472"/>
      <c r="I117" s="472"/>
      <c r="J117" s="472"/>
      <c r="K117" s="472"/>
      <c r="L117" s="472"/>
      <c r="M117" s="449"/>
      <c r="N117" s="477"/>
      <c r="O117" s="470"/>
      <c r="P117" s="470"/>
      <c r="Q117" s="470"/>
      <c r="R117" s="470"/>
      <c r="S117" s="449"/>
      <c r="T117" s="449"/>
      <c r="U117" s="449"/>
      <c r="V117" s="449"/>
      <c r="W117" s="449"/>
      <c r="X117" s="449"/>
      <c r="Y117" s="456"/>
      <c r="Z117" s="438"/>
      <c r="AA117" s="3656"/>
      <c r="AB117" s="438"/>
      <c r="AC117" s="438"/>
      <c r="AD117" s="438"/>
    </row>
    <row customHeight="1" ht="9">
      <c r="A118" s="3658"/>
      <c r="B118" s="3658"/>
      <c r="C118" s="449"/>
      <c r="D118" s="449"/>
      <c r="E118" s="449"/>
      <c r="F118" s="449"/>
      <c r="G118" s="449"/>
      <c r="H118" s="472"/>
      <c r="I118" s="472"/>
      <c r="J118" s="472"/>
      <c r="K118" s="472"/>
      <c r="L118" s="472"/>
      <c r="M118" s="449"/>
      <c r="N118" s="477"/>
      <c r="O118" s="470"/>
      <c r="P118" s="470"/>
      <c r="Q118" s="470"/>
      <c r="R118" s="470"/>
      <c r="S118" s="449"/>
      <c r="T118" s="449"/>
      <c r="U118" s="449"/>
      <c r="V118" s="449"/>
      <c r="W118" s="449"/>
      <c r="X118" s="449"/>
      <c r="Y118" s="456"/>
      <c r="Z118" s="438"/>
      <c r="AA118" s="3656"/>
      <c r="AB118" s="438"/>
      <c r="AC118" s="438"/>
      <c r="AD118" s="438"/>
    </row>
    <row customHeight="1" ht="9">
      <c r="A119" s="3658"/>
      <c r="B119" s="3658"/>
      <c r="C119" s="449"/>
      <c r="D119" s="449"/>
      <c r="E119" s="449"/>
      <c r="F119" s="449"/>
      <c r="G119" s="449"/>
      <c r="H119" s="472"/>
      <c r="I119" s="472"/>
      <c r="J119" s="472"/>
      <c r="K119" s="472"/>
      <c r="L119" s="472"/>
      <c r="M119" s="449"/>
      <c r="N119" s="477"/>
      <c r="O119" s="470"/>
      <c r="P119" s="470"/>
      <c r="Q119" s="470"/>
      <c r="R119" s="470"/>
      <c r="S119" s="449"/>
      <c r="T119" s="449"/>
      <c r="U119" s="449"/>
      <c r="V119" s="449"/>
      <c r="W119" s="449"/>
      <c r="X119" s="449"/>
      <c r="Y119" s="456"/>
      <c r="Z119" s="438"/>
      <c r="AA119" s="3656"/>
      <c r="AB119" s="438"/>
      <c r="AC119" s="438"/>
      <c r="AD119" s="438"/>
    </row>
    <row customHeight="1" ht="9">
      <c r="A120" s="3658"/>
      <c r="B120" s="3658"/>
      <c r="C120" s="449"/>
      <c r="D120" s="449"/>
      <c r="E120" s="449"/>
      <c r="F120" s="449"/>
      <c r="G120" s="449"/>
      <c r="H120" s="472"/>
      <c r="I120" s="472"/>
      <c r="J120" s="472"/>
      <c r="K120" s="472"/>
      <c r="L120" s="472"/>
      <c r="M120" s="449"/>
      <c r="N120" s="477"/>
      <c r="O120" s="470"/>
      <c r="P120" s="470"/>
      <c r="Q120" s="470"/>
      <c r="R120" s="470"/>
      <c r="S120" s="449"/>
      <c r="T120" s="449"/>
      <c r="U120" s="449"/>
      <c r="V120" s="449"/>
      <c r="W120" s="449"/>
      <c r="X120" s="449"/>
      <c r="Y120" s="456"/>
      <c r="Z120" s="438"/>
      <c r="AA120" s="3656"/>
      <c r="AB120" s="438"/>
      <c r="AC120" s="438"/>
      <c r="AD120" s="438"/>
    </row>
    <row customHeight="1" ht="9">
      <c r="A121" s="3658"/>
      <c r="B121" s="3658"/>
      <c r="C121" s="449"/>
      <c r="D121" s="449"/>
      <c r="E121" s="449"/>
      <c r="F121" s="449"/>
      <c r="G121" s="449"/>
      <c r="H121" s="472"/>
      <c r="I121" s="472"/>
      <c r="J121" s="472"/>
      <c r="K121" s="472"/>
      <c r="L121" s="472"/>
      <c r="M121" s="449"/>
      <c r="N121" s="477"/>
      <c r="O121" s="470"/>
      <c r="P121" s="470"/>
      <c r="Q121" s="470"/>
      <c r="R121" s="470"/>
      <c r="S121" s="449"/>
      <c r="T121" s="449"/>
      <c r="U121" s="449"/>
      <c r="V121" s="449"/>
      <c r="W121" s="449"/>
      <c r="X121" s="449"/>
      <c r="Y121" s="456"/>
      <c r="Z121" s="438"/>
      <c r="AA121" s="3656"/>
      <c r="AB121" s="438"/>
      <c r="AC121" s="438"/>
      <c r="AD121" s="438"/>
    </row>
    <row customHeight="1" ht="9">
      <c r="A122" s="3658"/>
      <c r="B122" s="3658"/>
      <c r="C122" s="449"/>
      <c r="D122" s="449"/>
      <c r="E122" s="449"/>
      <c r="F122" s="449"/>
      <c r="G122" s="449"/>
      <c r="H122" s="472"/>
      <c r="I122" s="472"/>
      <c r="J122" s="472"/>
      <c r="K122" s="472"/>
      <c r="L122" s="472"/>
      <c r="M122" s="449"/>
      <c r="N122" s="477"/>
      <c r="O122" s="470"/>
      <c r="P122" s="470"/>
      <c r="Q122" s="470"/>
      <c r="R122" s="470"/>
      <c r="S122" s="449"/>
      <c r="T122" s="449"/>
      <c r="U122" s="449"/>
      <c r="V122" s="449"/>
      <c r="W122" s="449"/>
      <c r="X122" s="449"/>
      <c r="Y122" s="456"/>
      <c r="Z122" s="438"/>
      <c r="AA122" s="3656"/>
      <c r="AB122" s="438"/>
      <c r="AC122" s="438"/>
      <c r="AD122" s="438"/>
    </row>
    <row customHeight="1" ht="9">
      <c r="A123" s="3658"/>
      <c r="B123" s="3658"/>
      <c r="C123" s="449"/>
      <c r="D123" s="449"/>
      <c r="E123" s="449"/>
      <c r="F123" s="449"/>
      <c r="G123" s="449"/>
      <c r="H123" s="472"/>
      <c r="I123" s="472"/>
      <c r="J123" s="472"/>
      <c r="K123" s="472"/>
      <c r="L123" s="472"/>
      <c r="M123" s="449"/>
      <c r="N123" s="477"/>
      <c r="O123" s="470"/>
      <c r="P123" s="470"/>
      <c r="Q123" s="470"/>
      <c r="R123" s="470"/>
      <c r="S123" s="449"/>
      <c r="T123" s="449"/>
      <c r="U123" s="449"/>
      <c r="V123" s="449"/>
      <c r="W123" s="449"/>
      <c r="X123" s="449"/>
      <c r="Y123" s="456"/>
      <c r="Z123" s="438"/>
      <c r="AA123" s="3656"/>
      <c r="AB123" s="438"/>
      <c r="AC123" s="438"/>
      <c r="AD123" s="438"/>
    </row>
    <row customHeight="1" ht="9">
      <c r="A124" s="3658"/>
      <c r="B124" s="3658"/>
      <c r="C124" s="449"/>
      <c r="D124" s="449"/>
      <c r="E124" s="449"/>
      <c r="F124" s="449"/>
      <c r="G124" s="449"/>
      <c r="H124" s="472"/>
      <c r="I124" s="472"/>
      <c r="J124" s="472"/>
      <c r="K124" s="472"/>
      <c r="L124" s="472"/>
      <c r="M124" s="449"/>
      <c r="N124" s="477"/>
      <c r="O124" s="470"/>
      <c r="P124" s="470"/>
      <c r="Q124" s="470"/>
      <c r="R124" s="470"/>
      <c r="S124" s="449"/>
      <c r="T124" s="449"/>
      <c r="U124" s="449"/>
      <c r="V124" s="449"/>
      <c r="W124" s="449"/>
      <c r="X124" s="449"/>
      <c r="Y124" s="456"/>
      <c r="Z124" s="438"/>
      <c r="AA124" s="3656"/>
      <c r="AB124" s="438"/>
      <c r="AC124" s="438"/>
      <c r="AD124" s="438"/>
    </row>
    <row customHeight="1" ht="9">
      <c r="A125" s="3658"/>
      <c r="B125" s="3658"/>
      <c r="C125" s="449"/>
      <c r="D125" s="449"/>
      <c r="E125" s="449"/>
      <c r="F125" s="449"/>
      <c r="G125" s="449"/>
      <c r="H125" s="472"/>
      <c r="I125" s="472"/>
      <c r="J125" s="472"/>
      <c r="K125" s="472"/>
      <c r="L125" s="472"/>
      <c r="M125" s="449"/>
      <c r="N125" s="477"/>
      <c r="O125" s="470"/>
      <c r="P125" s="470"/>
      <c r="Q125" s="470"/>
      <c r="R125" s="470"/>
      <c r="S125" s="449"/>
      <c r="T125" s="449"/>
      <c r="U125" s="449"/>
      <c r="V125" s="449"/>
      <c r="W125" s="449"/>
      <c r="X125" s="449"/>
      <c r="Y125" s="456"/>
      <c r="Z125" s="438"/>
      <c r="AA125" s="3656"/>
      <c r="AB125" s="438"/>
      <c r="AC125" s="438"/>
      <c r="AD125" s="438"/>
    </row>
    <row customHeight="1" ht="9">
      <c r="A126" s="3658"/>
      <c r="B126" s="3658"/>
      <c r="C126" s="449"/>
      <c r="D126" s="449"/>
      <c r="E126" s="449"/>
      <c r="F126" s="449"/>
      <c r="G126" s="449"/>
      <c r="H126" s="472"/>
      <c r="I126" s="472"/>
      <c r="J126" s="472"/>
      <c r="K126" s="472"/>
      <c r="L126" s="472"/>
      <c r="M126" s="449"/>
      <c r="N126" s="477"/>
      <c r="O126" s="470"/>
      <c r="P126" s="470"/>
      <c r="Q126" s="470"/>
      <c r="R126" s="470"/>
      <c r="S126" s="449"/>
      <c r="T126" s="449"/>
      <c r="U126" s="449"/>
      <c r="V126" s="449"/>
      <c r="W126" s="449"/>
      <c r="X126" s="449"/>
      <c r="Y126" s="456"/>
      <c r="Z126" s="438"/>
      <c r="AA126" s="3656"/>
      <c r="AB126" s="438"/>
      <c r="AC126" s="438"/>
      <c r="AD126" s="438"/>
    </row>
    <row customHeight="1" ht="9">
      <c r="A127" s="3658"/>
      <c r="B127" s="3658"/>
      <c r="C127" s="449"/>
      <c r="D127" s="449"/>
      <c r="E127" s="449"/>
      <c r="F127" s="449"/>
      <c r="G127" s="449"/>
      <c r="H127" s="472"/>
      <c r="I127" s="472"/>
      <c r="J127" s="472"/>
      <c r="K127" s="472"/>
      <c r="L127" s="472"/>
      <c r="M127" s="449"/>
      <c r="N127" s="477"/>
      <c r="O127" s="470"/>
      <c r="P127" s="470"/>
      <c r="Q127" s="470"/>
      <c r="R127" s="470"/>
      <c r="S127" s="449"/>
      <c r="T127" s="449"/>
      <c r="U127" s="449"/>
      <c r="V127" s="449"/>
      <c r="W127" s="449"/>
      <c r="X127" s="449"/>
      <c r="Y127" s="456"/>
      <c r="Z127" s="438"/>
      <c r="AA127" s="3656"/>
      <c r="AB127" s="438"/>
      <c r="AC127" s="438"/>
      <c r="AD127" s="438"/>
    </row>
    <row customHeight="1" ht="9">
      <c r="A128" s="3658"/>
      <c r="B128" s="3658"/>
      <c r="C128" s="449"/>
      <c r="D128" s="449"/>
      <c r="E128" s="449"/>
      <c r="F128" s="449"/>
      <c r="G128" s="449"/>
      <c r="H128" s="472"/>
      <c r="I128" s="472"/>
      <c r="J128" s="472"/>
      <c r="K128" s="472"/>
      <c r="L128" s="472"/>
      <c r="M128" s="449"/>
      <c r="N128" s="477"/>
      <c r="O128" s="470"/>
      <c r="P128" s="470"/>
      <c r="Q128" s="470"/>
      <c r="R128" s="470"/>
      <c r="S128" s="449"/>
      <c r="T128" s="449"/>
      <c r="U128" s="449"/>
      <c r="V128" s="449"/>
      <c r="W128" s="449"/>
      <c r="X128" s="449"/>
      <c r="Y128" s="456"/>
      <c r="Z128" s="438"/>
      <c r="AA128" s="3656"/>
      <c r="AB128" s="438"/>
      <c r="AC128" s="438"/>
      <c r="AD128" s="438"/>
    </row>
    <row customHeight="1" ht="9">
      <c r="A129" s="3658"/>
      <c r="B129" s="3658"/>
      <c r="C129" s="449"/>
      <c r="D129" s="449"/>
      <c r="E129" s="449"/>
      <c r="F129" s="449"/>
      <c r="G129" s="449"/>
      <c r="H129" s="472"/>
      <c r="I129" s="472"/>
      <c r="J129" s="472"/>
      <c r="K129" s="472"/>
      <c r="L129" s="472"/>
      <c r="M129" s="449"/>
      <c r="N129" s="477"/>
      <c r="O129" s="470"/>
      <c r="P129" s="470"/>
      <c r="Q129" s="470"/>
      <c r="R129" s="470"/>
      <c r="S129" s="449"/>
      <c r="T129" s="449"/>
      <c r="U129" s="449"/>
      <c r="V129" s="449"/>
      <c r="W129" s="449"/>
      <c r="X129" s="449"/>
      <c r="Y129" s="456"/>
      <c r="Z129" s="438"/>
      <c r="AA129" s="3656"/>
      <c r="AB129" s="438"/>
      <c r="AC129" s="438"/>
      <c r="AD129" s="438"/>
    </row>
    <row customHeight="1" ht="9">
      <c r="A130" s="3658"/>
      <c r="B130" s="3658"/>
      <c r="C130" s="449"/>
      <c r="D130" s="449"/>
      <c r="E130" s="449"/>
      <c r="F130" s="449"/>
      <c r="G130" s="449"/>
      <c r="H130" s="472"/>
      <c r="I130" s="472"/>
      <c r="J130" s="472"/>
      <c r="K130" s="472"/>
      <c r="L130" s="472"/>
      <c r="M130" s="449"/>
      <c r="N130" s="477"/>
      <c r="O130" s="478"/>
      <c r="P130" s="478"/>
      <c r="Q130" s="478"/>
      <c r="R130" s="478"/>
      <c r="S130" s="449"/>
      <c r="T130" s="449"/>
      <c r="U130" s="449"/>
      <c r="V130" s="449"/>
      <c r="W130" s="449"/>
      <c r="X130" s="449"/>
      <c r="Y130" s="456"/>
      <c r="Z130" s="438"/>
      <c r="AA130" s="3656"/>
      <c r="AB130" s="438"/>
      <c r="AC130" s="438"/>
      <c r="AD130" s="438"/>
    </row>
    <row customHeight="1" ht="9">
      <c r="A131" s="3658"/>
      <c r="B131" s="3658"/>
      <c r="C131" s="449"/>
      <c r="D131" s="449"/>
      <c r="E131" s="449"/>
      <c r="F131" s="449"/>
      <c r="G131" s="449"/>
      <c r="H131" s="472"/>
      <c r="I131" s="472"/>
      <c r="J131" s="472"/>
      <c r="K131" s="472"/>
      <c r="L131" s="472"/>
      <c r="M131" s="449"/>
      <c r="N131" s="477"/>
      <c r="O131" s="479"/>
      <c r="P131" s="479"/>
      <c r="Q131" s="479"/>
      <c r="R131" s="479"/>
      <c r="S131" s="449"/>
      <c r="T131" s="449"/>
      <c r="U131" s="449"/>
      <c r="V131" s="449"/>
      <c r="W131" s="449"/>
      <c r="X131" s="449"/>
      <c r="Y131" s="456"/>
      <c r="Z131" s="438"/>
      <c r="AA131" s="3656"/>
      <c r="AB131" s="438"/>
      <c r="AC131" s="438"/>
      <c r="AD131" s="438"/>
    </row>
    <row customHeight="1" ht="9">
      <c r="A132" s="3658"/>
      <c r="B132" s="3658"/>
      <c r="C132" s="449"/>
      <c r="D132" s="449"/>
      <c r="E132" s="449"/>
      <c r="F132" s="449"/>
      <c r="G132" s="449"/>
      <c r="H132" s="472"/>
      <c r="I132" s="472"/>
      <c r="J132" s="472"/>
      <c r="K132" s="472"/>
      <c r="L132" s="472"/>
      <c r="M132" s="449"/>
      <c r="N132" s="477"/>
      <c r="O132" s="478"/>
      <c r="P132" s="478"/>
      <c r="Q132" s="478"/>
      <c r="R132" s="478"/>
      <c r="S132" s="449"/>
      <c r="T132" s="449"/>
      <c r="U132" s="449"/>
      <c r="V132" s="449"/>
      <c r="W132" s="449"/>
      <c r="X132" s="449"/>
      <c r="Y132" s="456"/>
      <c r="Z132" s="438"/>
      <c r="AA132" s="3656"/>
      <c r="AB132" s="438"/>
      <c r="AC132" s="438"/>
      <c r="AD132" s="438"/>
    </row>
    <row customHeight="1" ht="9">
      <c r="A133" s="3658"/>
      <c r="B133" s="3658"/>
      <c r="C133" s="449"/>
      <c r="D133" s="449"/>
      <c r="E133" s="449"/>
      <c r="F133" s="449"/>
      <c r="G133" s="449"/>
      <c r="H133" s="472"/>
      <c r="I133" s="472"/>
      <c r="J133" s="472"/>
      <c r="K133" s="472"/>
      <c r="L133" s="472"/>
      <c r="M133" s="449"/>
      <c r="N133" s="477"/>
      <c r="O133" s="479"/>
      <c r="P133" s="479"/>
      <c r="Q133" s="479"/>
      <c r="R133" s="479"/>
      <c r="S133" s="449"/>
      <c r="T133" s="449"/>
      <c r="U133" s="449"/>
      <c r="V133" s="449"/>
      <c r="W133" s="449"/>
      <c r="X133" s="449"/>
      <c r="Y133" s="456"/>
      <c r="Z133" s="438"/>
      <c r="AA133" s="3656"/>
      <c r="AB133" s="438"/>
      <c r="AC133" s="438"/>
      <c r="AD133" s="438"/>
    </row>
    <row customHeight="1" ht="9">
      <c r="A134" s="3658"/>
      <c r="B134" s="3658"/>
      <c r="C134" s="449"/>
      <c r="D134" s="449"/>
      <c r="E134" s="449"/>
      <c r="F134" s="449"/>
      <c r="G134" s="449"/>
      <c r="H134" s="472"/>
      <c r="I134" s="472"/>
      <c r="J134" s="472"/>
      <c r="K134" s="472"/>
      <c r="L134" s="472"/>
      <c r="M134" s="449"/>
      <c r="N134" s="477"/>
      <c r="O134" s="470"/>
      <c r="P134" s="470"/>
      <c r="Q134" s="470"/>
      <c r="R134" s="470"/>
      <c r="S134" s="449"/>
      <c r="T134" s="449"/>
      <c r="U134" s="449"/>
      <c r="V134" s="449"/>
      <c r="W134" s="449"/>
      <c r="X134" s="449"/>
      <c r="Y134" s="456"/>
      <c r="Z134" s="438"/>
      <c r="AA134" s="3656"/>
      <c r="AB134" s="438"/>
      <c r="AC134" s="438"/>
      <c r="AD134" s="438"/>
    </row>
    <row customHeight="1" ht="9">
      <c r="A135" s="3658"/>
      <c r="B135" s="3658"/>
      <c r="C135" s="449"/>
      <c r="D135" s="449"/>
      <c r="E135" s="449"/>
      <c r="F135" s="449"/>
      <c r="G135" s="449"/>
      <c r="H135" s="472"/>
      <c r="I135" s="472"/>
      <c r="J135" s="472"/>
      <c r="K135" s="472"/>
      <c r="L135" s="472"/>
      <c r="M135" s="449"/>
      <c r="N135" s="477"/>
      <c r="O135" s="470"/>
      <c r="P135" s="470"/>
      <c r="Q135" s="470"/>
      <c r="R135" s="470"/>
      <c r="S135" s="449"/>
      <c r="T135" s="449"/>
      <c r="U135" s="449"/>
      <c r="V135" s="449"/>
      <c r="W135" s="449"/>
      <c r="X135" s="449"/>
      <c r="Y135" s="456"/>
      <c r="Z135" s="438"/>
      <c r="AA135" s="3656"/>
      <c r="AB135" s="438"/>
      <c r="AC135" s="438"/>
      <c r="AD135" s="438"/>
    </row>
    <row customHeight="1" ht="9">
      <c r="A136" s="3658"/>
      <c r="B136" s="3658"/>
      <c r="C136" s="449"/>
      <c r="D136" s="449"/>
      <c r="E136" s="449"/>
      <c r="F136" s="449"/>
      <c r="G136" s="449"/>
      <c r="H136" s="472"/>
      <c r="I136" s="472"/>
      <c r="J136" s="472"/>
      <c r="K136" s="472"/>
      <c r="L136" s="472"/>
      <c r="M136" s="449"/>
      <c r="N136" s="477"/>
      <c r="O136" s="470"/>
      <c r="P136" s="470"/>
      <c r="Q136" s="470"/>
      <c r="R136" s="470"/>
      <c r="S136" s="449"/>
      <c r="T136" s="449"/>
      <c r="U136" s="449"/>
      <c r="V136" s="449"/>
      <c r="W136" s="449"/>
      <c r="X136" s="449"/>
      <c r="Y136" s="456"/>
      <c r="Z136" s="438"/>
      <c r="AA136" s="3656"/>
      <c r="AB136" s="438"/>
      <c r="AC136" s="438"/>
      <c r="AD136" s="438"/>
    </row>
    <row customHeight="1" ht="9">
      <c r="A137" s="3658"/>
      <c r="B137" s="3658"/>
      <c r="C137" s="449"/>
      <c r="D137" s="449"/>
      <c r="E137" s="449"/>
      <c r="F137" s="449"/>
      <c r="G137" s="449"/>
      <c r="H137" s="472"/>
      <c r="I137" s="472"/>
      <c r="J137" s="472"/>
      <c r="K137" s="472"/>
      <c r="L137" s="472"/>
      <c r="M137" s="449"/>
      <c r="N137" s="477"/>
      <c r="O137" s="3670"/>
      <c r="P137" s="3670"/>
      <c r="Q137" s="3670"/>
      <c r="R137" s="3670"/>
      <c r="S137" s="449"/>
      <c r="T137" s="449"/>
      <c r="U137" s="449"/>
      <c r="V137" s="449"/>
      <c r="W137" s="449"/>
      <c r="X137" s="449"/>
      <c r="Y137" s="456"/>
      <c r="Z137" s="438"/>
      <c r="AA137" s="3656"/>
      <c r="AB137" s="438"/>
      <c r="AC137" s="438"/>
      <c r="AD137" s="438"/>
    </row>
    <row customHeight="1" ht="9">
      <c r="A138" s="3658"/>
      <c r="B138" s="3658"/>
      <c r="C138" s="449"/>
      <c r="D138" s="449"/>
      <c r="E138" s="449"/>
      <c r="F138" s="449"/>
      <c r="G138" s="449"/>
      <c r="H138" s="472"/>
      <c r="I138" s="472"/>
      <c r="J138" s="472"/>
      <c r="K138" s="472"/>
      <c r="L138" s="472"/>
      <c r="M138" s="449"/>
      <c r="N138" s="477"/>
      <c r="O138" s="3667"/>
      <c r="P138" s="3667"/>
      <c r="Q138" s="3667"/>
      <c r="R138" s="3667"/>
      <c r="S138" s="449"/>
      <c r="T138" s="449"/>
      <c r="U138" s="449"/>
      <c r="V138" s="449"/>
      <c r="W138" s="449"/>
      <c r="X138" s="449"/>
      <c r="Y138" s="456"/>
      <c r="Z138" s="438"/>
      <c r="AA138" s="3656"/>
      <c r="AB138" s="438"/>
      <c r="AC138" s="438"/>
      <c r="AD138" s="438"/>
    </row>
    <row customHeight="1" ht="9">
      <c r="A139" s="3658"/>
      <c r="B139" s="3658"/>
      <c r="C139" s="449"/>
      <c r="D139" s="449"/>
      <c r="E139" s="449"/>
      <c r="F139" s="449"/>
      <c r="G139" s="449"/>
      <c r="H139" s="472"/>
      <c r="I139" s="472"/>
      <c r="J139" s="472"/>
      <c r="K139" s="472"/>
      <c r="L139" s="472"/>
      <c r="M139" s="449"/>
      <c r="N139" s="477"/>
      <c r="O139" s="449"/>
      <c r="P139" s="449"/>
      <c r="Q139" s="449"/>
      <c r="R139" s="449"/>
      <c r="S139" s="449"/>
      <c r="T139" s="449"/>
      <c r="U139" s="449"/>
      <c r="V139" s="449"/>
      <c r="W139" s="449"/>
      <c r="X139" s="449"/>
      <c r="Y139" s="456"/>
      <c r="Z139" s="438"/>
      <c r="AA139" s="3656"/>
      <c r="AB139" s="438"/>
      <c r="AC139" s="438"/>
      <c r="AD139" s="438"/>
    </row>
    <row customHeight="1" ht="9">
      <c r="A140" s="3658"/>
      <c r="B140" s="3658"/>
      <c r="C140" s="449"/>
      <c r="D140" s="449"/>
      <c r="E140" s="449"/>
      <c r="F140" s="449"/>
      <c r="G140" s="449"/>
      <c r="H140" s="472"/>
      <c r="I140" s="472"/>
      <c r="J140" s="472"/>
      <c r="K140" s="472"/>
      <c r="L140" s="472"/>
      <c r="M140" s="449"/>
      <c r="N140" s="477"/>
      <c r="O140" s="449"/>
      <c r="P140" s="449"/>
      <c r="Q140" s="449"/>
      <c r="R140" s="449"/>
      <c r="S140" s="449"/>
      <c r="T140" s="449"/>
      <c r="U140" s="449"/>
      <c r="V140" s="449"/>
      <c r="W140" s="449"/>
      <c r="X140" s="449"/>
      <c r="Y140" s="456"/>
      <c r="Z140" s="438"/>
      <c r="AA140" s="3656"/>
      <c r="AB140" s="438"/>
      <c r="AC140" s="438"/>
      <c r="AD140" s="438"/>
    </row>
    <row customHeight="1" ht="9">
      <c r="A141" s="3658"/>
      <c r="B141" s="3658"/>
      <c r="C141" s="449"/>
      <c r="D141" s="449"/>
      <c r="E141" s="449"/>
      <c r="F141" s="449"/>
      <c r="G141" s="449"/>
      <c r="H141" s="472"/>
      <c r="I141" s="472"/>
      <c r="J141" s="472"/>
      <c r="K141" s="472"/>
      <c r="L141" s="472"/>
      <c r="M141" s="449"/>
      <c r="N141" s="477"/>
      <c r="O141" s="449"/>
      <c r="P141" s="449"/>
      <c r="Q141" s="449"/>
      <c r="R141" s="449"/>
      <c r="S141" s="449"/>
      <c r="T141" s="449"/>
      <c r="U141" s="449"/>
      <c r="V141" s="449"/>
      <c r="W141" s="449"/>
      <c r="X141" s="449"/>
      <c r="Y141" s="456"/>
      <c r="Z141" s="438"/>
      <c r="AA141" s="3656"/>
      <c r="AB141" s="438"/>
      <c r="AC141" s="438"/>
      <c r="AD141" s="438"/>
    </row>
    <row customHeight="1" ht="9">
      <c r="A142" s="3658"/>
      <c r="B142" s="3658"/>
      <c r="C142" s="449"/>
      <c r="D142" s="449"/>
      <c r="E142" s="449"/>
      <c r="F142" s="449"/>
      <c r="G142" s="449"/>
      <c r="H142" s="472"/>
      <c r="I142" s="472"/>
      <c r="J142" s="472"/>
      <c r="K142" s="472"/>
      <c r="L142" s="472"/>
      <c r="M142" s="449"/>
      <c r="N142" s="477"/>
      <c r="O142" s="449"/>
      <c r="P142" s="449"/>
      <c r="Q142" s="449"/>
      <c r="R142" s="449"/>
      <c r="S142" s="449"/>
      <c r="T142" s="449"/>
      <c r="U142" s="449"/>
      <c r="V142" s="449"/>
      <c r="W142" s="449"/>
      <c r="X142" s="449"/>
      <c r="Y142" s="456"/>
      <c r="Z142" s="438"/>
      <c r="AA142" s="3656"/>
      <c r="AB142" s="438"/>
      <c r="AC142" s="438"/>
      <c r="AD142" s="438"/>
    </row>
    <row customHeight="1" ht="9">
      <c r="A143" s="3658"/>
      <c r="B143" s="3658"/>
      <c r="C143" s="449"/>
      <c r="D143" s="449"/>
      <c r="E143" s="449"/>
      <c r="F143" s="449"/>
      <c r="G143" s="449"/>
      <c r="H143" s="472"/>
      <c r="I143" s="472"/>
      <c r="J143" s="472"/>
      <c r="K143" s="472"/>
      <c r="L143" s="472"/>
      <c r="M143" s="449"/>
      <c r="N143" s="477"/>
      <c r="O143" s="449"/>
      <c r="P143" s="449"/>
      <c r="Q143" s="449"/>
      <c r="R143" s="449"/>
      <c r="S143" s="449"/>
      <c r="T143" s="449"/>
      <c r="U143" s="449"/>
      <c r="V143" s="449"/>
      <c r="W143" s="449"/>
      <c r="X143" s="449"/>
      <c r="Y143" s="456"/>
      <c r="Z143" s="438"/>
      <c r="AA143" s="3656"/>
      <c r="AB143" s="438"/>
      <c r="AC143" s="438"/>
      <c r="AD143" s="438"/>
    </row>
    <row customHeight="1" ht="9">
      <c r="A144" s="3658"/>
      <c r="B144" s="3658"/>
      <c r="C144" s="449"/>
      <c r="D144" s="449"/>
      <c r="E144" s="449"/>
      <c r="F144" s="449"/>
      <c r="G144" s="449"/>
      <c r="H144" s="472"/>
      <c r="I144" s="472"/>
      <c r="J144" s="472"/>
      <c r="K144" s="472"/>
      <c r="L144" s="472"/>
      <c r="M144" s="449"/>
      <c r="N144" s="477"/>
      <c r="O144" s="449"/>
      <c r="P144" s="449"/>
      <c r="Q144" s="449"/>
      <c r="R144" s="449"/>
      <c r="S144" s="449"/>
      <c r="T144" s="449"/>
      <c r="U144" s="449"/>
      <c r="V144" s="449"/>
      <c r="W144" s="449"/>
      <c r="X144" s="449"/>
      <c r="Y144" s="456"/>
      <c r="Z144" s="438"/>
      <c r="AA144" s="3656"/>
      <c r="AB144" s="438"/>
      <c r="AC144" s="438"/>
      <c r="AD144" s="438"/>
    </row>
    <row customHeight="1" ht="9">
      <c r="A145" s="3658"/>
      <c r="B145" s="3658"/>
      <c r="C145" s="449"/>
      <c r="D145" s="449"/>
      <c r="E145" s="449"/>
      <c r="F145" s="449"/>
      <c r="G145" s="449"/>
      <c r="H145" s="472"/>
      <c r="I145" s="472"/>
      <c r="J145" s="472"/>
      <c r="K145" s="472"/>
      <c r="L145" s="472"/>
      <c r="M145" s="449"/>
      <c r="N145" s="477"/>
      <c r="O145" s="449"/>
      <c r="P145" s="449"/>
      <c r="Q145" s="449"/>
      <c r="R145" s="449"/>
      <c r="S145" s="449"/>
      <c r="T145" s="449"/>
      <c r="U145" s="449"/>
      <c r="V145" s="449"/>
      <c r="W145" s="449"/>
      <c r="X145" s="449"/>
      <c r="Y145" s="456"/>
      <c r="Z145" s="438"/>
      <c r="AA145" s="3656"/>
      <c r="AB145" s="438"/>
      <c r="AC145" s="438"/>
      <c r="AD145" s="438"/>
    </row>
    <row customHeight="1" ht="9">
      <c r="A146" s="3658"/>
      <c r="B146" s="3658"/>
      <c r="C146" s="449"/>
      <c r="D146" s="449"/>
      <c r="E146" s="449"/>
      <c r="F146" s="449"/>
      <c r="G146" s="449"/>
      <c r="H146" s="472"/>
      <c r="I146" s="472"/>
      <c r="J146" s="472"/>
      <c r="K146" s="472"/>
      <c r="L146" s="472"/>
      <c r="M146" s="449"/>
      <c r="N146" s="477"/>
      <c r="O146" s="449"/>
      <c r="P146" s="449"/>
      <c r="Q146" s="449"/>
      <c r="R146" s="449"/>
      <c r="S146" s="449"/>
      <c r="T146" s="449"/>
      <c r="U146" s="449"/>
      <c r="V146" s="449"/>
      <c r="W146" s="449"/>
      <c r="X146" s="449"/>
      <c r="Y146" s="456"/>
      <c r="Z146" s="438"/>
      <c r="AA146" s="3656"/>
      <c r="AB146" s="438"/>
      <c r="AC146" s="438"/>
      <c r="AD146" s="438"/>
    </row>
    <row customHeight="1" ht="9">
      <c r="A147" s="3658"/>
      <c r="B147" s="3658"/>
      <c r="C147" s="3658"/>
      <c r="D147" s="3658"/>
      <c r="E147" s="3658"/>
      <c r="F147" s="3658"/>
      <c r="G147" s="3658"/>
      <c r="H147" s="3658"/>
      <c r="I147" s="3658"/>
      <c r="J147" s="3658"/>
      <c r="K147" s="3658"/>
      <c r="L147" s="3658"/>
      <c r="M147" s="3658"/>
      <c r="N147" s="3658"/>
      <c r="O147" s="3658"/>
      <c r="P147" s="3658"/>
      <c r="Q147" s="3658"/>
      <c r="R147" s="3658"/>
      <c r="S147" s="3658"/>
      <c r="T147" s="3658"/>
      <c r="U147" s="3658"/>
      <c r="V147" s="3658"/>
      <c r="W147" s="3658"/>
      <c r="X147" s="3658"/>
      <c r="Y147" s="3658"/>
      <c r="Z147" s="3658"/>
      <c r="AA147" s="3658"/>
      <c r="AB147" s="3658"/>
      <c r="AC147" s="3658"/>
      <c r="AD147" s="3658"/>
    </row>
    <row customHeight="1" ht="90">
      <c r="A148" s="3658" t="s">
        <v>1684</v>
      </c>
      <c r="B148" s="3658"/>
      <c r="C148" s="449" t="s">
        <v>2246</v>
      </c>
      <c r="D148" s="449" t="s">
        <v>1586</v>
      </c>
      <c r="E148" s="449" t="s">
        <v>1686</v>
      </c>
      <c r="F148" s="449" t="s">
        <v>2247</v>
      </c>
      <c r="G148" s="449"/>
      <c r="H148" s="449"/>
      <c r="I148" s="481"/>
      <c r="J148" s="481"/>
      <c r="K148" s="481"/>
      <c r="L148" s="481"/>
      <c r="M148" s="36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3662"/>
      <c r="O148" s="449"/>
      <c r="P148" s="3659"/>
      <c r="Q148" s="3659"/>
      <c r="R148" s="3659"/>
      <c r="S148" s="449"/>
      <c r="T148" s="449" t="s">
        <v>2248</v>
      </c>
      <c r="U148" s="36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3659"/>
      <c r="W148" s="3659"/>
      <c r="X148" s="449" t="s">
        <v>2249</v>
      </c>
      <c r="Y148" s="456"/>
      <c r="Z148" s="438"/>
      <c r="AA148" s="3656"/>
      <c r="AB148" s="438"/>
      <c r="AC148" s="438"/>
      <c r="AD148" s="438"/>
    </row>
    <row customHeight="1" ht="9">
      <c r="A149" s="3658"/>
      <c r="B149" s="3658"/>
      <c r="C149" s="3658"/>
      <c r="D149" s="3658"/>
      <c r="E149" s="3658"/>
      <c r="F149" s="3658"/>
      <c r="G149" s="3658"/>
      <c r="H149" s="3658"/>
      <c r="I149" s="3658"/>
      <c r="J149" s="3658"/>
      <c r="K149" s="3658"/>
      <c r="L149" s="3658"/>
      <c r="M149" s="3658"/>
      <c r="N149" s="3658"/>
      <c r="O149" s="3658"/>
      <c r="P149" s="3658"/>
      <c r="Q149" s="3658"/>
      <c r="R149" s="3658"/>
      <c r="S149" s="3658"/>
      <c r="T149" s="3658"/>
      <c r="U149" s="3658"/>
      <c r="V149" s="3658"/>
      <c r="W149" s="3658"/>
      <c r="X149" s="3658"/>
      <c r="Y149" s="3658"/>
      <c r="Z149" s="3658"/>
      <c r="AA149" s="3658"/>
      <c r="AB149" s="3658"/>
      <c r="AC149" s="3658"/>
      <c r="AD149" s="3658"/>
    </row>
    <row customHeight="1" ht="9">
      <c r="A150" s="3658" t="s">
        <v>1688</v>
      </c>
      <c r="B150" s="3658"/>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56"/>
      <c r="Z150" s="438"/>
      <c r="AA150" s="3656"/>
      <c r="AB150" s="438"/>
      <c r="AC150" s="438"/>
      <c r="AD150" s="438"/>
    </row>
    <row customHeight="1" ht="9">
      <c r="A151" s="3658"/>
      <c r="B151" s="3658"/>
      <c r="C151" s="3658"/>
      <c r="D151" s="3658"/>
      <c r="E151" s="3658"/>
      <c r="F151" s="3658"/>
      <c r="G151" s="3658"/>
      <c r="H151" s="3658"/>
      <c r="I151" s="3658"/>
      <c r="J151" s="3658"/>
      <c r="K151" s="3658"/>
      <c r="L151" s="3658"/>
      <c r="M151" s="3658"/>
      <c r="N151" s="3658"/>
      <c r="O151" s="3658"/>
      <c r="P151" s="3658"/>
      <c r="Q151" s="3658"/>
      <c r="R151" s="3658"/>
      <c r="S151" s="3658"/>
      <c r="T151" s="3658"/>
      <c r="U151" s="3658"/>
      <c r="V151" s="3658"/>
      <c r="W151" s="3658"/>
      <c r="X151" s="3658"/>
      <c r="Y151" s="3658"/>
      <c r="Z151" s="3658"/>
      <c r="AA151" s="3658"/>
      <c r="AB151" s="3658"/>
      <c r="AC151" s="3658"/>
      <c r="AD151" s="3658"/>
    </row>
    <row customHeight="1" ht="9">
      <c r="A152" s="3658" t="s">
        <v>1691</v>
      </c>
      <c r="B152" s="3658"/>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56"/>
      <c r="Z152" s="438"/>
      <c r="AA152" s="3656"/>
      <c r="AB152" s="438"/>
      <c r="AC152" s="438"/>
      <c r="AD152" s="438"/>
    </row>
    <row customHeight="1" ht="9">
      <c r="A153" s="3658"/>
      <c r="B153" s="3658"/>
      <c r="C153" s="3658"/>
      <c r="D153" s="3658"/>
      <c r="E153" s="3658"/>
      <c r="F153" s="3658"/>
      <c r="G153" s="3658"/>
      <c r="H153" s="3658"/>
      <c r="I153" s="3658"/>
      <c r="J153" s="3658"/>
      <c r="K153" s="3658"/>
      <c r="L153" s="3658"/>
      <c r="M153" s="3658"/>
      <c r="N153" s="3658"/>
      <c r="O153" s="3658"/>
      <c r="P153" s="3658"/>
      <c r="Q153" s="3658"/>
      <c r="R153" s="3658"/>
      <c r="S153" s="3658"/>
      <c r="T153" s="3658"/>
      <c r="U153" s="3658"/>
      <c r="V153" s="3658"/>
      <c r="W153" s="3658"/>
      <c r="X153" s="3658"/>
      <c r="Y153" s="3658"/>
      <c r="Z153" s="3658"/>
      <c r="AA153" s="3658"/>
      <c r="AB153" s="3658"/>
      <c r="AC153" s="3658"/>
      <c r="AD153" s="3658"/>
    </row>
    <row customHeight="1" ht="9">
      <c r="A154" s="3658" t="s">
        <v>1696</v>
      </c>
      <c r="B154" s="365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56"/>
      <c r="Z154" s="438"/>
      <c r="AA154" s="3656"/>
      <c r="AB154" s="438"/>
      <c r="AC154" s="438"/>
      <c r="AD154" s="43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4D2FC-E18C-0C06-5D7C-4B3D0E68210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348" width="10.57421875" hidden="1"/>
    <col min="2" max="2" style="7348" width="11.00390625" hidden="1" customWidth="1"/>
    <col min="3" max="3" style="7348" width="10.57421875" hidden="1"/>
    <col min="4" max="4" style="7348" width="11.8515625" hidden="1" customWidth="1"/>
    <col min="5" max="8" style="7348" width="12.28125" hidden="1" customWidth="1"/>
    <col min="9" max="11" style="7348" width="3.00390625" customWidth="1"/>
    <col min="12" max="12" style="7348" width="12.00390625" customWidth="1"/>
    <col min="13" max="13" style="7348" width="31.00390625" customWidth="1"/>
    <col min="14" max="14" style="7348" width="1.00390625" customWidth="1"/>
    <col min="15" max="18" style="7348" width="24.00390625" customWidth="1"/>
    <col min="19" max="19" style="7348" width="11.00390625" customWidth="1"/>
    <col min="20" max="20" style="7348" width="3.7109375" customWidth="1"/>
    <col min="21" max="21" style="7348" width="11.00390625" customWidth="1"/>
    <col min="22" max="22" style="7348" width="8.57421875" customWidth="1"/>
    <col min="23" max="23" style="7348" width="4.00390625" customWidth="1"/>
    <col min="24" max="24" style="7348" width="115.00390625" customWidth="1"/>
    <col min="25" max="29" style="7348" width="10.00390625" customWidth="1"/>
    <col min="30" max="30" style="7348" width="10.57421875" hidden="1"/>
  </cols>
  <sheetData>
    <row customHeight="1" ht="22.5" hidden="1">
      <c r="AD1" s="3432" t="s">
        <v>14</v>
      </c>
    </row>
    <row customHeight="1" ht="14.25" hidden="1">
      <c r="AD2" s="3432">
        <v>0</v>
      </c>
    </row>
    <row customHeight="1" ht="14.25" hidden="1">
      <c r="AD3" s="3432">
        <v>0</v>
      </c>
    </row>
    <row customHeight="1" ht="14.699999999999998">
      <c r="J4" s="3719"/>
      <c r="K4" s="3719"/>
      <c r="L4" s="3842"/>
      <c r="M4" s="3450"/>
      <c r="N4" s="3450"/>
      <c r="AD4" s="3432">
        <v>14</v>
      </c>
    </row>
    <row customHeight="1" ht="67.2">
      <c r="J5" s="3719"/>
      <c r="K5" s="3719"/>
      <c r="L5" s="3914" t="s">
        <v>2250</v>
      </c>
      <c r="M5" s="3914"/>
      <c r="N5" s="3914"/>
      <c r="O5" s="3914"/>
      <c r="P5" s="3914"/>
      <c r="Q5" s="3914"/>
      <c r="R5" s="3914"/>
      <c r="S5" s="3914"/>
      <c r="T5" s="3914"/>
      <c r="U5" s="3914"/>
      <c r="AD5" s="3432">
        <v>64</v>
      </c>
    </row>
    <row customHeight="1" ht="14.699999999999998">
      <c r="J6" s="3719"/>
      <c r="K6" s="3719"/>
      <c r="L6" s="3915" t="str">
        <f>IF(org=0,"Не определено",org)</f>
        <v>ООО "ТеплоЭлектроГенерирующая Компания"</v>
      </c>
      <c r="M6" s="3915"/>
      <c r="N6" s="3915"/>
      <c r="O6" s="3915"/>
      <c r="P6" s="3915"/>
      <c r="Q6" s="3915"/>
      <c r="R6" s="3915"/>
      <c r="S6" s="3915"/>
      <c r="T6" s="3915"/>
      <c r="U6" s="3915"/>
      <c r="AD6" s="3432">
        <v>14</v>
      </c>
    </row>
    <row customHeight="1" ht="14.699999999999998">
      <c r="J7" s="3719"/>
      <c r="K7" s="3719"/>
      <c r="L7" s="3842"/>
      <c r="M7" s="3450"/>
      <c r="N7" s="3450"/>
      <c r="O7" s="3804"/>
      <c r="P7" s="3804"/>
      <c r="Q7" s="3804"/>
      <c r="R7" s="3804"/>
      <c r="S7" s="3804"/>
      <c r="T7" s="3804"/>
      <c r="U7" s="3804"/>
      <c r="V7" s="3804"/>
      <c r="AD7" s="3432">
        <v>14</v>
      </c>
    </row>
    <row customHeight="1" ht="48.29999999999999">
      <c r="M8" s="3843" t="s">
        <v>41</v>
      </c>
      <c r="N8" s="3675"/>
      <c r="O8" s="3806" t="str">
        <f>IF(TITLE_NAME_OR_PR_CHANGE="",IF(TITLE_NAME_OR_PR="","",TITLE_NAME_OR_PR),TITLE_NAME_OR_PR_CHANGE)</f>
        <v/>
      </c>
      <c r="P8" s="3806"/>
      <c r="Q8" s="3806"/>
      <c r="R8" s="3806"/>
      <c r="S8" s="3806"/>
      <c r="T8" s="3806"/>
      <c r="U8" s="3806"/>
      <c r="AD8" s="3489">
        <v>46</v>
      </c>
    </row>
    <row customHeight="1" ht="24">
      <c r="M9" s="3843" t="s">
        <v>438</v>
      </c>
      <c r="N9" s="3675"/>
      <c r="O9" s="3806" t="str">
        <f>IF(TITLE_DATE_CHANGE_PERIOD="",IF(TITLE_DATE_PR="","",TITLE_DATE_PR),TITLE_DATE_CHANGE_PERIOD)</f>
        <v/>
      </c>
      <c r="P9" s="3806"/>
      <c r="Q9" s="3806"/>
      <c r="R9" s="3806"/>
      <c r="S9" s="3806"/>
      <c r="T9" s="3806"/>
      <c r="U9" s="3806"/>
      <c r="AD9" s="3489">
        <v>23</v>
      </c>
    </row>
    <row customHeight="1" ht="24">
      <c r="M10" s="3843" t="s">
        <v>439</v>
      </c>
      <c r="N10" s="3675"/>
      <c r="O10" s="3806" t="str">
        <f>IF(TITLE_NUMBER_PR_CHANGE="",IF(TITLE_NUMBER_PR="","",TITLE_NUMBER_PR),TITLE_NUMBER_PR_CHANGE)</f>
        <v/>
      </c>
      <c r="P10" s="3806"/>
      <c r="Q10" s="3806"/>
      <c r="R10" s="3806"/>
      <c r="S10" s="3806"/>
      <c r="T10" s="3806"/>
      <c r="U10" s="3806"/>
      <c r="AD10" s="3489">
        <v>23</v>
      </c>
    </row>
    <row customHeight="1" ht="24">
      <c r="M11" s="3843" t="s">
        <v>42</v>
      </c>
      <c r="N11" s="3675"/>
      <c r="O11" s="3806" t="str">
        <f>IF(TITLE_IST_PUB_CHANGE="",IF(TITLE_IST_PUB="","",TITLE_IST_PUB),TITLE_IST_PUB_CHANGE)</f>
        <v/>
      </c>
      <c r="P11" s="3806"/>
      <c r="Q11" s="3806"/>
      <c r="R11" s="3806"/>
      <c r="S11" s="3806"/>
      <c r="T11" s="3806"/>
      <c r="U11" s="3806"/>
      <c r="AD11" s="3489">
        <v>23</v>
      </c>
    </row>
    <row customHeight="1" ht="11.25" hidden="1">
      <c r="V12" s="3473" t="s">
        <v>442</v>
      </c>
      <c r="AD12" s="3489">
        <v>0</v>
      </c>
    </row>
    <row customHeight="1" ht="14.699999999999998">
      <c r="J13" s="3719"/>
      <c r="K13" s="3719"/>
      <c r="L13" s="3842"/>
      <c r="M13" s="3450"/>
      <c r="N13" s="3845"/>
      <c r="O13" s="3846"/>
      <c r="P13" s="3846"/>
      <c r="Q13" s="3846"/>
      <c r="R13" s="3846"/>
      <c r="S13" s="3846"/>
      <c r="T13" s="3846"/>
      <c r="U13" s="3846"/>
      <c r="V13" s="3846"/>
      <c r="AD13" s="3432">
        <v>14</v>
      </c>
    </row>
    <row customHeight="1" ht="14.699999999999998">
      <c r="J14" s="3719"/>
      <c r="K14" s="3719"/>
      <c r="L14" s="3480" t="s">
        <v>315</v>
      </c>
      <c r="M14" s="3480"/>
      <c r="N14" s="3480"/>
      <c r="O14" s="3480"/>
      <c r="P14" s="3480"/>
      <c r="Q14" s="3480"/>
      <c r="R14" s="3480"/>
      <c r="S14" s="3480"/>
      <c r="T14" s="3480"/>
      <c r="U14" s="3480"/>
      <c r="V14" s="3480"/>
      <c r="W14" s="3480"/>
      <c r="X14" s="3480" t="s">
        <v>316</v>
      </c>
      <c r="AD14" s="3432">
        <v>14</v>
      </c>
    </row>
    <row customHeight="1" ht="14.699999999999998">
      <c r="J15" s="3719"/>
      <c r="K15" s="3719"/>
      <c r="L15" s="3818" t="s">
        <v>86</v>
      </c>
      <c r="M15" s="3579" t="s">
        <v>443</v>
      </c>
      <c r="N15" s="3793"/>
      <c r="O15" s="3847" t="s">
        <v>2251</v>
      </c>
      <c r="P15" s="3848"/>
      <c r="Q15" s="3848"/>
      <c r="R15" s="3848"/>
      <c r="S15" s="3848"/>
      <c r="T15" s="3848"/>
      <c r="U15" s="3849"/>
      <c r="V15" s="3807" t="s">
        <v>445</v>
      </c>
      <c r="W15" s="868" t="s">
        <v>1168</v>
      </c>
      <c r="X15" s="3480"/>
      <c r="AD15" s="3432">
        <v>14</v>
      </c>
    </row>
    <row customHeight="1" ht="35.699999999999996">
      <c r="J16" s="3719"/>
      <c r="K16" s="3719"/>
      <c r="L16" s="3818"/>
      <c r="M16" s="3579"/>
      <c r="N16" s="3798"/>
      <c r="O16" s="3558" t="s">
        <v>448</v>
      </c>
      <c r="P16" s="3558" t="s">
        <v>449</v>
      </c>
      <c r="Q16" s="3437" t="s">
        <v>450</v>
      </c>
      <c r="R16" s="3436"/>
      <c r="S16" s="3437" t="s">
        <v>464</v>
      </c>
      <c r="T16" s="3477"/>
      <c r="U16" s="3436"/>
      <c r="V16" s="3851"/>
      <c r="W16" s="871"/>
      <c r="X16" s="3480"/>
      <c r="AD16" s="3432">
        <v>34</v>
      </c>
    </row>
    <row customHeight="1" ht="35.699999999999996">
      <c r="A17" s="3511" t="s">
        <v>152</v>
      </c>
      <c r="B17" s="3511" t="s">
        <v>153</v>
      </c>
      <c r="C17" s="3511" t="s">
        <v>154</v>
      </c>
      <c r="D17" s="3511" t="s">
        <v>155</v>
      </c>
      <c r="J17" s="3719"/>
      <c r="K17" s="3719"/>
      <c r="L17" s="3818"/>
      <c r="M17" s="3579"/>
      <c r="N17" s="3852"/>
      <c r="O17" s="3483"/>
      <c r="P17" s="3483"/>
      <c r="Q17" s="3525" t="s">
        <v>459</v>
      </c>
      <c r="R17" s="3525" t="s">
        <v>460</v>
      </c>
      <c r="S17" s="3525" t="s">
        <v>461</v>
      </c>
      <c r="T17" s="3626" t="s">
        <v>462</v>
      </c>
      <c r="U17" s="3628"/>
      <c r="V17" s="3810"/>
      <c r="W17" s="873"/>
      <c r="X17" s="3480"/>
      <c r="AD17" s="3432">
        <v>34</v>
      </c>
    </row>
    <row customHeight="1" ht="11.549999999999999">
      <c r="J18" s="3853"/>
      <c r="K18" s="3854">
        <v>1</v>
      </c>
      <c r="L18" s="876" t="s">
        <v>107</v>
      </c>
      <c r="M18" s="877" t="s">
        <v>108</v>
      </c>
      <c r="N18" s="3855" t="str">
        <f>OFFSET(N18,0,-1)</f>
        <v>2</v>
      </c>
      <c r="O18" s="3856">
        <f>OFFSET(O18,0,-1)+1</f>
        <v>3</v>
      </c>
      <c r="P18" s="3856"/>
      <c r="Q18" s="3856">
        <f>OFFSET(Q18,0,-1)+1</f>
        <v>1</v>
      </c>
      <c r="R18" s="3856">
        <f>OFFSET(R18,0,-1)+1</f>
        <v>2</v>
      </c>
      <c r="S18" s="3856">
        <f>OFFSET(S18,0,-1)+1</f>
        <v>3</v>
      </c>
      <c r="T18" s="3856">
        <f>OFFSET(T18,0,-1)+1</f>
        <v>4</v>
      </c>
      <c r="U18" s="3856"/>
      <c r="V18" s="3856">
        <f>OFFSET(V18,0,-2)+1</f>
        <v>5</v>
      </c>
      <c r="W18" s="3855">
        <f>OFFSET(W18,0,-1)</f>
        <v>5</v>
      </c>
      <c r="X18" s="3856">
        <f>OFFSET(X18,0,-1)+1</f>
        <v>6</v>
      </c>
      <c r="AD18" s="3637">
        <v>11</v>
      </c>
    </row>
    <row customHeight="1" ht="21">
      <c r="A19" s="3857" t="s">
        <v>185</v>
      </c>
      <c r="B19" s="3857" t="s">
        <v>186</v>
      </c>
      <c r="C19" s="3857" t="s">
        <v>187</v>
      </c>
      <c r="D19" s="3857" t="s">
        <v>188</v>
      </c>
      <c r="K19" s="816"/>
      <c r="L19" s="3818">
        <f>INDEX(PT_DIFFERENTIATION_NUM_NTAR,MATCH(A19,PT_DIFFERENTIATION_NTAR_ID,0))</f>
        <v>0</v>
      </c>
      <c r="M19" s="3764" t="s">
        <v>141</v>
      </c>
      <c r="N19" s="3819"/>
      <c r="O19" s="976" t="str">
        <f>INDEX(PT_DIFFERENTIATION_NTAR,MATCH(A19,PT_DIFFERENTIATION_NTAR_ID,0))</f>
        <v/>
      </c>
      <c r="P19" s="976"/>
      <c r="Q19" s="976"/>
      <c r="R19" s="976"/>
      <c r="S19" s="976"/>
      <c r="T19" s="976"/>
      <c r="U19" s="976"/>
      <c r="V19" s="976"/>
      <c r="W19" s="976"/>
      <c r="X19" s="3823" t="s">
        <v>411</v>
      </c>
      <c r="AA19" s="3479" t="str">
        <f>IF(M19="","",M19)</f>
        <v>Наименование тарифа</v>
      </c>
      <c r="AD19" s="3432">
        <v>20</v>
      </c>
    </row>
    <row customHeight="1" ht="21">
      <c r="A20" s="3857" t="s">
        <v>185</v>
      </c>
      <c r="B20" s="3857" t="s">
        <v>186</v>
      </c>
      <c r="C20" s="3857" t="s">
        <v>187</v>
      </c>
      <c r="D20" s="3857" t="s">
        <v>188</v>
      </c>
      <c r="J20" s="3825"/>
      <c r="K20" s="3826"/>
      <c r="L20" s="3818" t="str">
        <f>INDEX(PT_DIFFERENTIATION_NUM_TER,MATCH(B19,PT_DIFFERENTIATION_TER_ID,0))</f>
        <v>.</v>
      </c>
      <c r="M20" s="3827" t="s">
        <v>412</v>
      </c>
      <c r="N20" s="3819"/>
      <c r="O20" s="976" t="str">
        <f>INDEX(PT_DIFFERENTIATION_TER,MATCH(B19,PT_DIFFERENTIATION_TER_ID,0))</f>
        <v/>
      </c>
      <c r="P20" s="976"/>
      <c r="Q20" s="976"/>
      <c r="R20" s="976"/>
      <c r="S20" s="976"/>
      <c r="T20" s="976"/>
      <c r="U20" s="976"/>
      <c r="V20" s="976"/>
      <c r="W20" s="976"/>
      <c r="X20" s="3823" t="s">
        <v>413</v>
      </c>
      <c r="AA20" s="3479" t="str">
        <f>IF(M20="","",M20)</f>
        <v>Территория действия тарифа</v>
      </c>
      <c r="AD20" s="3432">
        <v>20</v>
      </c>
    </row>
    <row customHeight="1" ht="24">
      <c r="A21" s="3857" t="s">
        <v>185</v>
      </c>
      <c r="B21" s="3857" t="s">
        <v>186</v>
      </c>
      <c r="C21" s="3857" t="s">
        <v>187</v>
      </c>
      <c r="D21" s="3857" t="s">
        <v>188</v>
      </c>
      <c r="J21" s="3825"/>
      <c r="K21" s="3826"/>
      <c r="L21" s="3818" t="str">
        <f>INDEX(PT_DIFFERENTIATION_NUM_CS,MATCH(C19,PT_DIFFERENTIATION_CS_ID,0))</f>
        <v>..</v>
      </c>
      <c r="M21" s="3828" t="s">
        <v>414</v>
      </c>
      <c r="N21" s="3819"/>
      <c r="O21" s="976" t="str">
        <f>INDEX(PT_DIFFERENTIATION_CS,MATCH(C19,PT_DIFFERENTIATION_CS_ID,0))</f>
        <v/>
      </c>
      <c r="P21" s="976"/>
      <c r="Q21" s="976"/>
      <c r="R21" s="976"/>
      <c r="S21" s="976"/>
      <c r="T21" s="976"/>
      <c r="U21" s="976"/>
      <c r="V21" s="976"/>
      <c r="W21" s="976"/>
      <c r="X21" s="3823" t="s">
        <v>415</v>
      </c>
      <c r="AA21" s="3479" t="str">
        <f>IF(M21="","",M21)</f>
        <v>Наименование системы теплоснабжения </v>
      </c>
      <c r="AD21" s="3432">
        <v>23</v>
      </c>
    </row>
    <row customHeight="1" ht="21">
      <c r="A22" s="3857" t="s">
        <v>185</v>
      </c>
      <c r="B22" s="3857" t="s">
        <v>186</v>
      </c>
      <c r="C22" s="3857" t="s">
        <v>187</v>
      </c>
      <c r="D22" s="3857" t="s">
        <v>188</v>
      </c>
      <c r="J22" s="3825"/>
      <c r="K22" s="3826"/>
      <c r="L22" s="3818" t="str">
        <f>INDEX(PT_DIFFERENTIATION_NUM_IST_TE,MATCH(D19,PT_DIFFERENTIATION_IST_TE_ID,0))</f>
        <v>...</v>
      </c>
      <c r="M22" s="3829" t="s">
        <v>416</v>
      </c>
      <c r="N22" s="3819"/>
      <c r="O22" s="976" t="str">
        <f>INDEX(PT_DIFFERENTIATION_IST_TE,MATCH(D19,PT_DIFFERENTIATION_IST_TE_ID,0))</f>
        <v/>
      </c>
      <c r="P22" s="976"/>
      <c r="Q22" s="976"/>
      <c r="R22" s="976"/>
      <c r="S22" s="976"/>
      <c r="T22" s="976"/>
      <c r="U22" s="976"/>
      <c r="V22" s="976"/>
      <c r="W22" s="976"/>
      <c r="X22" s="3823" t="s">
        <v>417</v>
      </c>
      <c r="AA22" s="3479" t="str">
        <f>IF(M22="","",M22)</f>
        <v>Источник тепловой энергии  </v>
      </c>
      <c r="AD22" s="3432">
        <v>20</v>
      </c>
    </row>
    <row customHeight="1" ht="96.75">
      <c r="A23" s="3857" t="s">
        <v>185</v>
      </c>
      <c r="B23" s="3857" t="s">
        <v>186</v>
      </c>
      <c r="C23" s="3857" t="s">
        <v>187</v>
      </c>
      <c r="D23" s="3857" t="s">
        <v>188</v>
      </c>
      <c r="F23" s="3618" t="str">
        <f>L22&amp;".1"</f>
        <v>....1</v>
      </c>
      <c r="I23" s="3471">
        <v>1</v>
      </c>
      <c r="K23" s="3831"/>
      <c r="L23" s="3818" t="str">
        <f>$F$23</f>
        <v>....1</v>
      </c>
      <c r="M23" s="3832" t="s">
        <v>419</v>
      </c>
      <c r="N23" s="3819"/>
      <c r="O23" s="3800"/>
      <c r="P23" s="3800"/>
      <c r="Q23" s="3800"/>
      <c r="R23" s="3800"/>
      <c r="S23" s="3800"/>
      <c r="T23" s="3800"/>
      <c r="U23" s="3800"/>
      <c r="V23" s="3800"/>
      <c r="W23" s="3800"/>
      <c r="X23" s="3823" t="s">
        <v>420</v>
      </c>
      <c r="AA23" s="3479" t="str">
        <f>IF(M23="","",M23)</f>
        <v>Схема подключения теплопотребляющей установки к коллектору источника тепловой энергии</v>
      </c>
      <c r="AD23" s="3432">
        <v>92</v>
      </c>
    </row>
    <row customHeight="1" ht="86.25">
      <c r="A24" s="3857" t="s">
        <v>185</v>
      </c>
      <c r="B24" s="3857" t="s">
        <v>186</v>
      </c>
      <c r="C24" s="3857" t="s">
        <v>187</v>
      </c>
      <c r="D24" s="3857" t="s">
        <v>188</v>
      </c>
      <c r="G24" s="3618" t="str">
        <f>F23&amp;".1"</f>
        <v>....1.1</v>
      </c>
      <c r="J24" s="3471">
        <v>1</v>
      </c>
      <c r="K24" s="3836"/>
      <c r="L24" s="3818" t="str">
        <f>$G$24</f>
        <v>....1.1</v>
      </c>
      <c r="M24" s="3837" t="s">
        <v>422</v>
      </c>
      <c r="N24" s="3819"/>
      <c r="O24" s="3638"/>
      <c r="P24" s="3833"/>
      <c r="Q24" s="3833"/>
      <c r="R24" s="3833"/>
      <c r="S24" s="3833"/>
      <c r="T24" s="3833"/>
      <c r="U24" s="3833"/>
      <c r="V24" s="3833"/>
      <c r="W24" s="3834"/>
      <c r="X24" s="3823" t="s">
        <v>423</v>
      </c>
      <c r="AA24" s="3479" t="str">
        <f>IF(M24="","",M24)</f>
        <v>Группа потребителей</v>
      </c>
      <c r="AD24" s="3432">
        <v>82</v>
      </c>
    </row>
    <row customHeight="1" ht="11.549999999999999">
      <c r="A25" s="3857" t="s">
        <v>185</v>
      </c>
      <c r="B25" s="3857" t="s">
        <v>186</v>
      </c>
      <c r="C25" s="3857" t="s">
        <v>187</v>
      </c>
      <c r="D25" s="3857" t="s">
        <v>188</v>
      </c>
      <c r="H25" s="3618" t="str">
        <f>G24&amp;".1"</f>
        <v>....1.1.1</v>
      </c>
      <c r="K25" s="3836">
        <v>1</v>
      </c>
      <c r="L25" s="3818" t="str">
        <f>$H$25</f>
        <v>....1.1.1</v>
      </c>
      <c r="M25" s="3838"/>
      <c r="N25" s="3819"/>
      <c r="O25" s="838"/>
      <c r="P25" s="839"/>
      <c r="Q25" s="838"/>
      <c r="R25" s="840"/>
      <c r="S25" s="572"/>
      <c r="T25" s="210" t="s">
        <v>61</v>
      </c>
      <c r="U25" s="572"/>
      <c r="V25" s="210" t="s">
        <v>19</v>
      </c>
      <c r="W25" s="839"/>
      <c r="X25" s="3839" t="s">
        <v>425</v>
      </c>
      <c r="Y25" s="3473">
        <f>STRCHECKDATE(O26:W26)</f>
      </c>
      <c r="AA25" s="3479" t="str">
        <f>IF(M25="","",M25)</f>
        <v/>
      </c>
      <c r="AD25" s="3432">
        <v>11</v>
      </c>
    </row>
    <row customHeight="1" ht="11.549999999999999">
      <c r="A26" s="3857" t="s">
        <v>185</v>
      </c>
      <c r="B26" s="3857" t="s">
        <v>186</v>
      </c>
      <c r="C26" s="3857" t="s">
        <v>187</v>
      </c>
      <c r="D26" s="3857" t="s">
        <v>188</v>
      </c>
      <c r="K26" s="3836"/>
      <c r="L26" s="421"/>
      <c r="M26" s="3819"/>
      <c r="N26" s="3819"/>
      <c r="O26" s="839"/>
      <c r="P26" s="839"/>
      <c r="Q26" s="839"/>
      <c r="R26" s="842" t="str">
        <f>S25&amp;"-"&amp;U25</f>
        <v>-</v>
      </c>
      <c r="S26" s="573"/>
      <c r="T26" s="210"/>
      <c r="U26" s="573"/>
      <c r="V26" s="210"/>
      <c r="W26" s="839"/>
      <c r="X26" s="3840"/>
      <c r="AA26" s="3479" t="str">
        <f>IF(M26="","",M26)</f>
        <v/>
      </c>
      <c r="AD26" s="3432">
        <v>11</v>
      </c>
    </row>
    <row customHeight="1" ht="15.75">
      <c r="A27" s="3857" t="s">
        <v>185</v>
      </c>
      <c r="B27" s="3857" t="s">
        <v>186</v>
      </c>
      <c r="C27" s="3857" t="s">
        <v>187</v>
      </c>
      <c r="D27" s="3857" t="s">
        <v>188</v>
      </c>
      <c r="K27" s="3831"/>
      <c r="L27" s="844"/>
      <c r="M27" s="845" t="s">
        <v>426</v>
      </c>
      <c r="N27" s="200"/>
      <c r="O27" s="200"/>
      <c r="P27" s="200"/>
      <c r="Q27" s="200"/>
      <c r="R27" s="200"/>
      <c r="S27" s="200"/>
      <c r="T27" s="200"/>
      <c r="U27" s="200"/>
      <c r="V27" s="200"/>
      <c r="W27" s="846"/>
      <c r="X27" s="3841"/>
      <c r="AA27" s="3479" t="str">
        <f>IF(M27="","",M27)</f>
        <v>Добавить вид теплоносителя (параметры теплоносителя)</v>
      </c>
      <c r="AD27" s="3432">
        <v>15</v>
      </c>
    </row>
    <row customHeight="1" ht="15.75">
      <c r="A28" s="3857" t="s">
        <v>185</v>
      </c>
      <c r="B28" s="3857" t="s">
        <v>186</v>
      </c>
      <c r="C28" s="3857" t="s">
        <v>187</v>
      </c>
      <c r="D28" s="3857" t="s">
        <v>188</v>
      </c>
      <c r="K28" s="3831"/>
      <c r="L28" s="844"/>
      <c r="M28" s="848" t="s">
        <v>427</v>
      </c>
      <c r="N28" s="200"/>
      <c r="O28" s="200"/>
      <c r="P28" s="200"/>
      <c r="Q28" s="200"/>
      <c r="R28" s="200"/>
      <c r="S28" s="200"/>
      <c r="T28" s="200"/>
      <c r="U28" s="200"/>
      <c r="V28" s="849"/>
      <c r="W28" s="200"/>
      <c r="X28" s="850"/>
      <c r="AA28" s="3479" t="str">
        <f>IF(M28="","",M28)</f>
        <v>Добавить группу потребителей</v>
      </c>
      <c r="AD28" s="3432">
        <v>15</v>
      </c>
    </row>
    <row customHeight="1" ht="14.699999999999998">
      <c r="A29" s="3857" t="s">
        <v>185</v>
      </c>
      <c r="B29" s="3857" t="s">
        <v>186</v>
      </c>
      <c r="C29" s="3857" t="s">
        <v>187</v>
      </c>
      <c r="D29" s="3857" t="s">
        <v>188</v>
      </c>
      <c r="K29" s="816"/>
      <c r="L29" s="844"/>
      <c r="M29" s="851" t="s">
        <v>428</v>
      </c>
      <c r="N29" s="200"/>
      <c r="O29" s="200"/>
      <c r="P29" s="200"/>
      <c r="Q29" s="200"/>
      <c r="R29" s="200"/>
      <c r="S29" s="200"/>
      <c r="T29" s="200"/>
      <c r="U29" s="200"/>
      <c r="V29" s="849"/>
      <c r="W29" s="200"/>
      <c r="X29" s="850"/>
      <c r="AA29" s="3479" t="str">
        <f>IF(M29="","",M29)</f>
        <v>Добавить схему подключения</v>
      </c>
      <c r="AD29" s="3432">
        <v>14</v>
      </c>
    </row>
    <row customHeight="1" ht="14.699999999999998">
      <c r="A30" s="3857" t="s">
        <v>185</v>
      </c>
      <c r="B30" s="3857" t="s">
        <v>186</v>
      </c>
      <c r="C30" s="3857" t="s">
        <v>187</v>
      </c>
      <c r="E30" s="3857" t="s">
        <v>602</v>
      </c>
      <c r="K30" s="816"/>
      <c r="L30" s="977"/>
      <c r="M30" s="978"/>
      <c r="N30" s="979"/>
      <c r="O30" s="979"/>
      <c r="P30" s="979"/>
      <c r="Q30" s="979"/>
      <c r="R30" s="979"/>
      <c r="S30" s="979"/>
      <c r="T30" s="979"/>
      <c r="U30" s="979"/>
      <c r="V30" s="980"/>
      <c r="W30" s="979"/>
      <c r="X30" s="981"/>
      <c r="AA30" s="3479" t="str">
        <f>IF(M30="","",M30)</f>
        <v/>
      </c>
      <c r="AD30" s="3432">
        <v>14</v>
      </c>
    </row>
    <row customHeight="1" ht="14.699999999999998">
      <c r="A31" s="3857" t="s">
        <v>185</v>
      </c>
      <c r="B31" s="3857" t="s">
        <v>186</v>
      </c>
      <c r="E31" s="3857" t="s">
        <v>2252</v>
      </c>
      <c r="K31" s="724"/>
      <c r="L31" s="977"/>
      <c r="M31" s="982"/>
      <c r="N31" s="979"/>
      <c r="O31" s="979"/>
      <c r="P31" s="979"/>
      <c r="Q31" s="979"/>
      <c r="R31" s="979"/>
      <c r="S31" s="979"/>
      <c r="T31" s="979"/>
      <c r="U31" s="979"/>
      <c r="V31" s="980"/>
      <c r="W31" s="979"/>
      <c r="X31" s="981"/>
      <c r="AA31" s="3479" t="str">
        <f>IF(M31="","",M31)</f>
        <v/>
      </c>
      <c r="AD31" s="3432">
        <v>14</v>
      </c>
    </row>
    <row customHeight="1" ht="14.699999999999998">
      <c r="A32" s="3857" t="s">
        <v>2253</v>
      </c>
      <c r="E32" s="3857" t="s">
        <v>102</v>
      </c>
      <c r="K32" s="816"/>
      <c r="L32" s="977"/>
      <c r="M32" s="983"/>
      <c r="N32" s="979"/>
      <c r="O32" s="979"/>
      <c r="P32" s="979"/>
      <c r="Q32" s="979"/>
      <c r="R32" s="979"/>
      <c r="S32" s="979"/>
      <c r="T32" s="979"/>
      <c r="U32" s="979"/>
      <c r="V32" s="980"/>
      <c r="W32" s="979"/>
      <c r="X32" s="981"/>
      <c r="AA32" s="3479" t="str">
        <f>IF(M32="","",M32)</f>
        <v/>
      </c>
      <c r="AD32" s="3432">
        <v>14</v>
      </c>
    </row>
    <row customHeight="1" ht="11.549999999999999">
      <c r="E33" s="3857" t="s">
        <v>463</v>
      </c>
      <c r="L33" s="984"/>
      <c r="M33" s="985"/>
      <c r="N33" s="979"/>
      <c r="O33" s="979"/>
      <c r="P33" s="979"/>
      <c r="Q33" s="979"/>
      <c r="R33" s="979"/>
      <c r="S33" s="979"/>
      <c r="T33" s="979"/>
      <c r="U33" s="979"/>
      <c r="V33" s="980"/>
      <c r="W33" s="979"/>
      <c r="X33" s="981"/>
      <c r="AD33" s="164">
        <v>11</v>
      </c>
    </row>
    <row customHeight="1" ht="11.549999999999999">
      <c r="AD34" s="3432">
        <v>11</v>
      </c>
    </row>
    <row customHeight="1" ht="28.5">
      <c r="L35" s="3706" t="s">
        <v>826</v>
      </c>
      <c r="M35" s="3706" t="s">
        <v>2254</v>
      </c>
      <c r="AD35" s="3432">
        <v>27</v>
      </c>
    </row>
    <row customHeight="1" ht="109.19999999999999">
      <c r="M36" s="3706" t="s">
        <v>2255</v>
      </c>
      <c r="AD36" s="3432">
        <v>104</v>
      </c>
    </row>
    <row customHeight="1" ht="14.699999999999998">
      <c r="AD37" s="3432">
        <v>14</v>
      </c>
    </row>
    <row customHeight="1" ht="14.699999999999998">
      <c r="AD38" s="3432">
        <v>14</v>
      </c>
    </row>
    <row customHeight="1" ht="14.699999999999998">
      <c r="AD39" s="3432">
        <v>14</v>
      </c>
    </row>
    <row customHeight="1" ht="14.699999999999998">
      <c r="AD40" s="3432">
        <v>14</v>
      </c>
    </row>
    <row customHeight="1" ht="22.5" hidden="1">
      <c r="A41" s="3449" t="s">
        <v>80</v>
      </c>
      <c r="B41" s="3449">
        <v>0</v>
      </c>
      <c r="C41" s="3449">
        <v>0</v>
      </c>
      <c r="D41" s="3449">
        <v>0</v>
      </c>
      <c r="E41" s="3449">
        <v>0</v>
      </c>
      <c r="F41" s="105">
        <v>0</v>
      </c>
      <c r="G41" s="105">
        <v>0</v>
      </c>
      <c r="H41" s="105">
        <v>0</v>
      </c>
      <c r="I41" s="782">
        <v>3</v>
      </c>
      <c r="J41" s="3797">
        <v>3</v>
      </c>
      <c r="K41" s="3797">
        <v>3</v>
      </c>
      <c r="L41" s="3447">
        <v>12</v>
      </c>
      <c r="M41" s="3432">
        <v>31</v>
      </c>
      <c r="N41" s="3432">
        <v>1</v>
      </c>
      <c r="O41" s="3432">
        <v>24</v>
      </c>
      <c r="P41" s="3432">
        <v>24</v>
      </c>
      <c r="Q41" s="3432">
        <v>24</v>
      </c>
      <c r="R41" s="3432">
        <v>24</v>
      </c>
      <c r="S41" s="3432">
        <v>11</v>
      </c>
      <c r="T41" s="3432">
        <v>3</v>
      </c>
      <c r="U41" s="3432">
        <v>11</v>
      </c>
      <c r="V41" s="3432">
        <v>8</v>
      </c>
      <c r="W41" s="3432">
        <v>4</v>
      </c>
      <c r="X41" s="3432">
        <v>115</v>
      </c>
      <c r="Y41" s="3473">
        <v>10</v>
      </c>
      <c r="Z41" s="3473">
        <v>10</v>
      </c>
      <c r="AA41" s="3473">
        <v>10</v>
      </c>
      <c r="AB41" s="3473">
        <v>10</v>
      </c>
      <c r="AC41" s="3473">
        <v>10</v>
      </c>
      <c r="AD41" s="343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F741D-40D1-D4B1-F228-0466F1F6AF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BD0B7-06FD-762A-85D7-DC6893C70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86593-83B2-FBCB-FAFB-4E29724827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33EFD-C044-6E76-9FEA-F6085F7239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0FE3C-7452-E208-FC1D-30E7A3D031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2EF89-EE38-D1C4-EF47-FE85141E9F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36622-8B48-2356-360D-F4EBB26364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7FC5C-70A9-3B7F-4DE4-524C148645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674CB-8109-1DA8-FCA2-06813C8944EA}" mc:Ignorable="x14ac xr xr2 xr3">
  <dimension ref="A1:E8"/>
  <sheetViews>
    <sheetView topLeftCell="A1" showGridLines="0" workbookViewId="0">
      <selection activeCell="A1" sqref="A1"/>
    </sheetView>
  </sheetViews>
  <sheetFormatPr customHeight="1" defaultRowHeight="11.25"/>
  <cols>
    <col min="1" max="1" style="7348" width="10.57421875" customWidth="1"/>
    <col min="2" max="2" style="7348" width="8.7109375" customWidth="1"/>
    <col min="3" max="3" style="7348" width="18.140625" customWidth="1"/>
    <col min="4" max="4" style="7348" width="12.57421875" customWidth="1"/>
  </cols>
  <sheetData>
    <row customHeight="1" ht="11.25">
      <c r="A1" s="215" t="s">
        <v>2256</v>
      </c>
      <c r="B1" s="509" t="s">
        <v>2257</v>
      </c>
      <c r="C1" s="1275" t="s">
        <v>2258</v>
      </c>
      <c r="D1" s="1276"/>
      <c r="E1" s="215" t="s">
        <v>2259</v>
      </c>
    </row>
    <row customHeight="1" ht="11.25">
      <c r="A2" s="1277"/>
      <c r="B2" s="1276" t="s">
        <v>27</v>
      </c>
      <c r="C2" s="215"/>
      <c r="D2" s="509"/>
      <c r="E2" s="215"/>
    </row>
    <row customHeight="1" ht="11.25">
      <c r="A3" s="1278"/>
      <c r="B3" s="1279" t="s">
        <v>33</v>
      </c>
      <c r="C3" s="215"/>
      <c r="D3" s="509"/>
      <c r="E3" s="215"/>
    </row>
    <row customHeight="1" ht="11.25">
      <c r="A4" s="1280"/>
      <c r="B4" s="1279" t="s">
        <v>1684</v>
      </c>
      <c r="C4" s="215"/>
      <c r="D4" s="509"/>
      <c r="E4" s="215"/>
    </row>
    <row customHeight="1" ht="11.25">
      <c r="A5" s="1281"/>
      <c r="B5" s="1279" t="s">
        <v>1679</v>
      </c>
      <c r="C5" s="1282" t="s">
        <v>2023</v>
      </c>
      <c r="D5" s="1283" t="s">
        <v>2260</v>
      </c>
      <c r="E5" s="215"/>
    </row>
    <row customHeight="1" ht="11.25">
      <c r="A6" s="1284"/>
      <c r="B6" s="1279" t="s">
        <v>1688</v>
      </c>
      <c r="C6" s="215"/>
      <c r="D6" s="509"/>
      <c r="E6" s="215"/>
    </row>
    <row customHeight="1" ht="11.25">
      <c r="A7" s="1285"/>
      <c r="B7" s="1279" t="s">
        <v>1696</v>
      </c>
      <c r="C7" s="215"/>
      <c r="D7" s="509"/>
      <c r="E7" s="215"/>
    </row>
    <row customHeight="1" ht="11.25">
      <c r="A8" s="1282"/>
      <c r="B8" s="1279" t="s">
        <v>1691</v>
      </c>
      <c r="C8" s="215"/>
      <c r="D8" s="509"/>
      <c r="E8" s="21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A2784-1973-74F4-D37F-2AA8E86FFD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C9F5E-0C93-7DE1-A1EA-0A58BB834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276E8-904E-E6B1-9215-35E9AF5E74AE}" mc:Ignorable="x14ac xr xr2 xr3">
  <sheetPr>
    <tabColor rgb="FFFFCC99"/>
  </sheetPr>
  <dimension ref="A1:I462"/>
  <sheetViews>
    <sheetView topLeftCell="A1" showGridLines="0" workbookViewId="0">
      <selection activeCell="A1" sqref="A1"/>
    </sheetView>
  </sheetViews>
  <sheetFormatPr defaultColWidth="9.140625" customHeight="1" defaultRowHeight="11.25"/>
  <cols>
    <col min="3" max="3" style="7348" width="20.7109375" customWidth="1"/>
    <col min="4" max="4" style="7348" width="25.140625" customWidth="1"/>
  </cols>
  <sheetData>
    <row customHeight="1" ht="11.25">
      <c r="A1" s="164" t="s">
        <v>2261</v>
      </c>
      <c r="B1" s="164" t="s">
        <v>2262</v>
      </c>
      <c r="C1" s="164" t="s">
        <v>2263</v>
      </c>
      <c r="D1" s="164" t="s">
        <v>2264</v>
      </c>
      <c r="E1" s="164" t="s">
        <v>2265</v>
      </c>
      <c r="F1" s="164" t="s">
        <v>2266</v>
      </c>
      <c r="G1" s="164" t="s">
        <v>2267</v>
      </c>
      <c r="H1" s="164" t="s">
        <v>2268</v>
      </c>
      <c r="I1" s="164" t="s">
        <v>2269</v>
      </c>
    </row>
    <row customHeight="1" ht="11.25">
      <c r="A2" s="164" t="s">
        <v>2270</v>
      </c>
      <c r="B2" s="164" t="s">
        <v>16</v>
      </c>
      <c r="C2" s="164" t="s">
        <v>2271</v>
      </c>
      <c r="D2" s="164" t="s">
        <v>2272</v>
      </c>
      <c r="E2" s="164" t="s">
        <v>2273</v>
      </c>
      <c r="F2" s="164" t="s">
        <v>2274</v>
      </c>
      <c r="G2" s="0" t="s">
        <v>22</v>
      </c>
      <c r="H2" s="0" t="s">
        <v>22</v>
      </c>
      <c r="I2" s="164" t="s">
        <v>830</v>
      </c>
    </row>
    <row customHeight="1" ht="11.25">
      <c r="A3" s="164" t="s">
        <v>2270</v>
      </c>
      <c r="B3" s="164" t="s">
        <v>16</v>
      </c>
      <c r="C3" s="164" t="s">
        <v>2275</v>
      </c>
      <c r="D3" s="164" t="s">
        <v>2276</v>
      </c>
      <c r="E3" s="164" t="s">
        <v>2277</v>
      </c>
      <c r="F3" s="164" t="s">
        <v>2278</v>
      </c>
      <c r="G3" s="3399" t="s">
        <v>22</v>
      </c>
      <c r="H3" s="3399" t="s">
        <v>22</v>
      </c>
      <c r="I3" s="164" t="s">
        <v>830</v>
      </c>
    </row>
    <row customHeight="1" ht="11.25">
      <c r="A4" s="164" t="s">
        <v>2270</v>
      </c>
      <c r="B4" s="164" t="s">
        <v>16</v>
      </c>
      <c r="C4" s="164" t="s">
        <v>2279</v>
      </c>
      <c r="D4" s="164" t="s">
        <v>2280</v>
      </c>
      <c r="E4" s="164" t="s">
        <v>2281</v>
      </c>
      <c r="F4" s="164" t="s">
        <v>2282</v>
      </c>
      <c r="G4" s="3399" t="s">
        <v>22</v>
      </c>
      <c r="H4" s="3399" t="s">
        <v>22</v>
      </c>
      <c r="I4" s="164" t="s">
        <v>830</v>
      </c>
    </row>
    <row customHeight="1" ht="11.25">
      <c r="A5" s="164" t="s">
        <v>2270</v>
      </c>
      <c r="B5" s="164" t="s">
        <v>16</v>
      </c>
      <c r="C5" s="164" t="s">
        <v>2283</v>
      </c>
      <c r="D5" s="164" t="s">
        <v>2284</v>
      </c>
      <c r="E5" s="164" t="s">
        <v>2285</v>
      </c>
      <c r="F5" s="164" t="s">
        <v>2286</v>
      </c>
      <c r="G5" s="0" t="s">
        <v>22</v>
      </c>
      <c r="H5" s="0" t="s">
        <v>22</v>
      </c>
      <c r="I5" s="164" t="s">
        <v>830</v>
      </c>
    </row>
    <row customHeight="1" ht="11.25">
      <c r="A6" s="164" t="s">
        <v>2270</v>
      </c>
      <c r="B6" s="164" t="s">
        <v>16</v>
      </c>
      <c r="C6" s="164" t="s">
        <v>2287</v>
      </c>
      <c r="D6" s="164" t="s">
        <v>2288</v>
      </c>
      <c r="E6" s="164" t="s">
        <v>2289</v>
      </c>
      <c r="F6" s="164" t="s">
        <v>2274</v>
      </c>
      <c r="G6" s="0" t="s">
        <v>22</v>
      </c>
      <c r="H6" s="0" t="s">
        <v>22</v>
      </c>
      <c r="I6" s="164" t="s">
        <v>830</v>
      </c>
    </row>
    <row customHeight="1" ht="11.25">
      <c r="A7" s="164" t="s">
        <v>2270</v>
      </c>
      <c r="B7" s="164" t="s">
        <v>16</v>
      </c>
      <c r="C7" s="164" t="s">
        <v>2290</v>
      </c>
      <c r="D7" s="164" t="s">
        <v>2291</v>
      </c>
      <c r="E7" s="164" t="s">
        <v>2292</v>
      </c>
      <c r="F7" s="164" t="s">
        <v>2293</v>
      </c>
      <c r="G7" s="0" t="s">
        <v>22</v>
      </c>
      <c r="H7" s="0" t="s">
        <v>22</v>
      </c>
      <c r="I7" s="164" t="s">
        <v>830</v>
      </c>
    </row>
    <row customHeight="1" ht="11.25">
      <c r="A8" s="164" t="s">
        <v>2270</v>
      </c>
      <c r="B8" s="164" t="s">
        <v>16</v>
      </c>
      <c r="C8" s="164" t="s">
        <v>2294</v>
      </c>
      <c r="D8" s="164" t="s">
        <v>2295</v>
      </c>
      <c r="E8" s="164" t="s">
        <v>2296</v>
      </c>
      <c r="F8" s="164" t="s">
        <v>2297</v>
      </c>
      <c r="G8" s="164" t="s">
        <v>2298</v>
      </c>
      <c r="H8" s="164" t="s">
        <v>2299</v>
      </c>
      <c r="I8" s="164" t="s">
        <v>830</v>
      </c>
    </row>
    <row customHeight="1" ht="11.25">
      <c r="A9" s="164" t="s">
        <v>2270</v>
      </c>
      <c r="B9" s="164" t="s">
        <v>16</v>
      </c>
      <c r="C9" s="164" t="s">
        <v>2300</v>
      </c>
      <c r="D9" s="164" t="s">
        <v>2301</v>
      </c>
      <c r="E9" s="164" t="s">
        <v>2302</v>
      </c>
      <c r="F9" s="164" t="s">
        <v>2303</v>
      </c>
      <c r="G9" s="0" t="s">
        <v>22</v>
      </c>
      <c r="H9" s="0" t="s">
        <v>22</v>
      </c>
      <c r="I9" s="164" t="s">
        <v>830</v>
      </c>
    </row>
    <row customHeight="1" ht="11.25">
      <c r="A10" s="164" t="s">
        <v>2270</v>
      </c>
      <c r="B10" s="164" t="s">
        <v>16</v>
      </c>
      <c r="C10" s="164" t="s">
        <v>2304</v>
      </c>
      <c r="D10" s="164" t="s">
        <v>2305</v>
      </c>
      <c r="E10" s="164" t="s">
        <v>2306</v>
      </c>
      <c r="F10" s="164" t="s">
        <v>2307</v>
      </c>
      <c r="G10" s="0" t="s">
        <v>22</v>
      </c>
      <c r="H10" s="0" t="s">
        <v>22</v>
      </c>
      <c r="I10" s="164" t="s">
        <v>830</v>
      </c>
    </row>
    <row customHeight="1" ht="11.25">
      <c r="A11" s="164" t="s">
        <v>2270</v>
      </c>
      <c r="B11" s="164" t="s">
        <v>16</v>
      </c>
      <c r="C11" s="164" t="s">
        <v>2308</v>
      </c>
      <c r="D11" s="164" t="s">
        <v>2309</v>
      </c>
      <c r="E11" s="164" t="s">
        <v>2310</v>
      </c>
      <c r="F11" s="164" t="s">
        <v>2311</v>
      </c>
      <c r="G11" s="0" t="s">
        <v>22</v>
      </c>
      <c r="H11" s="0" t="s">
        <v>22</v>
      </c>
      <c r="I11" s="164" t="s">
        <v>830</v>
      </c>
    </row>
    <row customHeight="1" ht="11.25">
      <c r="A12" s="164" t="s">
        <v>2270</v>
      </c>
      <c r="B12" s="164" t="s">
        <v>16</v>
      </c>
      <c r="C12" s="164" t="s">
        <v>2312</v>
      </c>
      <c r="D12" s="164" t="s">
        <v>2313</v>
      </c>
      <c r="E12" s="164" t="s">
        <v>2314</v>
      </c>
      <c r="F12" s="164" t="s">
        <v>2315</v>
      </c>
      <c r="G12" s="0" t="s">
        <v>22</v>
      </c>
      <c r="H12" s="0" t="s">
        <v>22</v>
      </c>
      <c r="I12" s="164" t="s">
        <v>830</v>
      </c>
    </row>
    <row customHeight="1" ht="11.25">
      <c r="A13" s="164" t="s">
        <v>2270</v>
      </c>
      <c r="B13" s="164" t="s">
        <v>16</v>
      </c>
      <c r="C13" s="164" t="s">
        <v>2316</v>
      </c>
      <c r="D13" s="164" t="s">
        <v>2317</v>
      </c>
      <c r="E13" s="164" t="s">
        <v>2318</v>
      </c>
      <c r="F13" s="164" t="s">
        <v>2319</v>
      </c>
      <c r="G13" s="164" t="s">
        <v>2320</v>
      </c>
      <c r="H13" s="0" t="s">
        <v>22</v>
      </c>
      <c r="I13" s="164" t="s">
        <v>830</v>
      </c>
    </row>
    <row customHeight="1" ht="11.25">
      <c r="A14" s="164" t="s">
        <v>2270</v>
      </c>
      <c r="B14" s="164" t="s">
        <v>16</v>
      </c>
      <c r="C14" s="164" t="s">
        <v>2321</v>
      </c>
      <c r="D14" s="164" t="s">
        <v>2322</v>
      </c>
      <c r="E14" s="164" t="s">
        <v>2323</v>
      </c>
      <c r="F14" s="164" t="s">
        <v>2274</v>
      </c>
      <c r="G14" s="0" t="s">
        <v>22</v>
      </c>
      <c r="H14" s="164" t="s">
        <v>2324</v>
      </c>
      <c r="I14" s="164" t="s">
        <v>830</v>
      </c>
    </row>
    <row customHeight="1" ht="11.25">
      <c r="A15" s="164" t="s">
        <v>2270</v>
      </c>
      <c r="B15" s="164" t="s">
        <v>16</v>
      </c>
      <c r="C15" s="164" t="s">
        <v>2325</v>
      </c>
      <c r="D15" s="164" t="s">
        <v>2326</v>
      </c>
      <c r="E15" s="164" t="s">
        <v>2327</v>
      </c>
      <c r="F15" s="164" t="s">
        <v>2274</v>
      </c>
      <c r="G15" s="0" t="s">
        <v>22</v>
      </c>
      <c r="H15" s="0" t="s">
        <v>22</v>
      </c>
      <c r="I15" s="164" t="s">
        <v>830</v>
      </c>
    </row>
    <row customHeight="1" ht="11.25">
      <c r="A16" s="164" t="s">
        <v>2270</v>
      </c>
      <c r="B16" s="164" t="s">
        <v>16</v>
      </c>
      <c r="C16" s="164" t="s">
        <v>2328</v>
      </c>
      <c r="D16" s="164" t="s">
        <v>2329</v>
      </c>
      <c r="E16" s="164" t="s">
        <v>2306</v>
      </c>
      <c r="F16" s="164" t="s">
        <v>2330</v>
      </c>
      <c r="G16" s="0" t="s">
        <v>22</v>
      </c>
      <c r="H16" s="0" t="s">
        <v>22</v>
      </c>
      <c r="I16" s="164" t="s">
        <v>830</v>
      </c>
    </row>
    <row customHeight="1" ht="11.25">
      <c r="A17" s="164" t="s">
        <v>2270</v>
      </c>
      <c r="B17" s="164" t="s">
        <v>16</v>
      </c>
      <c r="C17" s="164" t="s">
        <v>2331</v>
      </c>
      <c r="D17" s="164" t="s">
        <v>2332</v>
      </c>
      <c r="E17" s="164" t="s">
        <v>2333</v>
      </c>
      <c r="F17" s="164" t="s">
        <v>2315</v>
      </c>
      <c r="G17" s="0" t="s">
        <v>22</v>
      </c>
      <c r="H17" s="0" t="s">
        <v>22</v>
      </c>
      <c r="I17" s="164" t="s">
        <v>830</v>
      </c>
    </row>
    <row customHeight="1" ht="11.25">
      <c r="A18" s="164" t="s">
        <v>2270</v>
      </c>
      <c r="B18" s="164" t="s">
        <v>16</v>
      </c>
      <c r="C18" s="164" t="s">
        <v>2334</v>
      </c>
      <c r="D18" s="164" t="s">
        <v>2335</v>
      </c>
      <c r="E18" s="164" t="s">
        <v>2336</v>
      </c>
      <c r="F18" s="164" t="s">
        <v>2337</v>
      </c>
      <c r="G18" s="0" t="s">
        <v>22</v>
      </c>
      <c r="H18" s="0" t="s">
        <v>22</v>
      </c>
      <c r="I18" s="164" t="s">
        <v>830</v>
      </c>
    </row>
    <row customHeight="1" ht="11.25">
      <c r="A19" s="164" t="s">
        <v>2270</v>
      </c>
      <c r="B19" s="164" t="s">
        <v>16</v>
      </c>
      <c r="C19" s="164" t="s">
        <v>2338</v>
      </c>
      <c r="D19" s="164" t="s">
        <v>2339</v>
      </c>
      <c r="E19" s="164" t="s">
        <v>2340</v>
      </c>
      <c r="F19" s="164" t="s">
        <v>2341</v>
      </c>
      <c r="G19" s="0" t="s">
        <v>22</v>
      </c>
      <c r="H19" s="0" t="s">
        <v>22</v>
      </c>
      <c r="I19" s="164" t="s">
        <v>830</v>
      </c>
    </row>
    <row customHeight="1" ht="11.25">
      <c r="A20" s="164" t="s">
        <v>2270</v>
      </c>
      <c r="B20" s="164" t="s">
        <v>16</v>
      </c>
      <c r="C20" s="164" t="s">
        <v>2342</v>
      </c>
      <c r="D20" s="164" t="s">
        <v>2343</v>
      </c>
      <c r="E20" s="164" t="s">
        <v>2344</v>
      </c>
      <c r="F20" s="164" t="s">
        <v>2345</v>
      </c>
      <c r="G20" s="0" t="s">
        <v>22</v>
      </c>
      <c r="H20" s="0" t="s">
        <v>22</v>
      </c>
      <c r="I20" s="164" t="s">
        <v>830</v>
      </c>
    </row>
    <row customHeight="1" ht="11.25">
      <c r="A21" s="164" t="s">
        <v>2270</v>
      </c>
      <c r="B21" s="164" t="s">
        <v>16</v>
      </c>
      <c r="C21" s="164" t="s">
        <v>2346</v>
      </c>
      <c r="D21" s="164" t="s">
        <v>2347</v>
      </c>
      <c r="E21" s="164" t="s">
        <v>2348</v>
      </c>
      <c r="F21" s="164" t="s">
        <v>2349</v>
      </c>
      <c r="G21" s="0" t="s">
        <v>22</v>
      </c>
      <c r="H21" s="0" t="s">
        <v>22</v>
      </c>
      <c r="I21" s="164" t="s">
        <v>830</v>
      </c>
    </row>
    <row customHeight="1" ht="11.25">
      <c r="A22" s="164" t="s">
        <v>2270</v>
      </c>
      <c r="B22" s="164" t="s">
        <v>16</v>
      </c>
      <c r="C22" s="164" t="s">
        <v>2350</v>
      </c>
      <c r="D22" s="164" t="s">
        <v>2351</v>
      </c>
      <c r="E22" s="164" t="s">
        <v>2352</v>
      </c>
      <c r="F22" s="164" t="s">
        <v>2353</v>
      </c>
      <c r="G22" s="0" t="s">
        <v>22</v>
      </c>
      <c r="H22" s="0" t="s">
        <v>22</v>
      </c>
      <c r="I22" s="164" t="s">
        <v>830</v>
      </c>
    </row>
    <row customHeight="1" ht="11.25">
      <c r="A23" s="164" t="s">
        <v>2270</v>
      </c>
      <c r="B23" s="164" t="s">
        <v>16</v>
      </c>
      <c r="C23" s="164" t="s">
        <v>2354</v>
      </c>
      <c r="D23" s="164" t="s">
        <v>2355</v>
      </c>
      <c r="E23" s="164" t="s">
        <v>2356</v>
      </c>
      <c r="F23" s="164" t="s">
        <v>2357</v>
      </c>
      <c r="G23" s="0" t="s">
        <v>22</v>
      </c>
      <c r="H23" s="0" t="s">
        <v>22</v>
      </c>
      <c r="I23" s="164" t="s">
        <v>830</v>
      </c>
    </row>
    <row customHeight="1" ht="11.25">
      <c r="A24" s="164" t="s">
        <v>2270</v>
      </c>
      <c r="B24" s="164" t="s">
        <v>16</v>
      </c>
      <c r="C24" s="164" t="s">
        <v>2358</v>
      </c>
      <c r="D24" s="164" t="s">
        <v>2359</v>
      </c>
      <c r="E24" s="164" t="s">
        <v>2360</v>
      </c>
      <c r="F24" s="164" t="s">
        <v>2361</v>
      </c>
      <c r="G24" s="0" t="s">
        <v>22</v>
      </c>
      <c r="H24" s="0" t="s">
        <v>22</v>
      </c>
      <c r="I24" s="164" t="s">
        <v>830</v>
      </c>
    </row>
    <row customHeight="1" ht="11.25">
      <c r="A25" s="164" t="s">
        <v>2270</v>
      </c>
      <c r="B25" s="164" t="s">
        <v>16</v>
      </c>
      <c r="C25" s="164" t="s">
        <v>2362</v>
      </c>
      <c r="D25" s="164" t="s">
        <v>2363</v>
      </c>
      <c r="E25" s="164" t="s">
        <v>2364</v>
      </c>
      <c r="F25" s="164" t="s">
        <v>2349</v>
      </c>
      <c r="G25" s="0" t="s">
        <v>22</v>
      </c>
      <c r="H25" s="0" t="s">
        <v>22</v>
      </c>
      <c r="I25" s="164" t="s">
        <v>830</v>
      </c>
    </row>
    <row customHeight="1" ht="11.25">
      <c r="A26" s="164" t="s">
        <v>2270</v>
      </c>
      <c r="B26" s="164" t="s">
        <v>16</v>
      </c>
      <c r="C26" s="164" t="s">
        <v>2365</v>
      </c>
      <c r="D26" s="164" t="s">
        <v>2366</v>
      </c>
      <c r="E26" s="164" t="s">
        <v>2367</v>
      </c>
      <c r="F26" s="164" t="s">
        <v>2278</v>
      </c>
      <c r="G26" s="0" t="s">
        <v>22</v>
      </c>
      <c r="H26" s="0" t="s">
        <v>22</v>
      </c>
      <c r="I26" s="164" t="s">
        <v>830</v>
      </c>
    </row>
    <row customHeight="1" ht="11.25">
      <c r="A27" s="164" t="s">
        <v>2270</v>
      </c>
      <c r="B27" s="164" t="s">
        <v>16</v>
      </c>
      <c r="C27" s="164" t="s">
        <v>2368</v>
      </c>
      <c r="D27" s="164" t="s">
        <v>2369</v>
      </c>
      <c r="E27" s="164" t="s">
        <v>2370</v>
      </c>
      <c r="F27" s="164" t="s">
        <v>2349</v>
      </c>
      <c r="G27" s="0" t="s">
        <v>22</v>
      </c>
      <c r="H27" s="0" t="s">
        <v>22</v>
      </c>
      <c r="I27" s="164" t="s">
        <v>830</v>
      </c>
    </row>
    <row customHeight="1" ht="11.25">
      <c r="A28" s="164" t="s">
        <v>2270</v>
      </c>
      <c r="B28" s="164" t="s">
        <v>16</v>
      </c>
      <c r="C28" s="164" t="s">
        <v>2371</v>
      </c>
      <c r="D28" s="164" t="s">
        <v>2372</v>
      </c>
      <c r="E28" s="164" t="s">
        <v>2373</v>
      </c>
      <c r="F28" s="164" t="s">
        <v>590</v>
      </c>
      <c r="G28" s="164" t="s">
        <v>2374</v>
      </c>
      <c r="H28" s="0" t="s">
        <v>22</v>
      </c>
      <c r="I28" s="164" t="s">
        <v>830</v>
      </c>
    </row>
    <row customHeight="1" ht="11.25">
      <c r="A29" s="164" t="s">
        <v>2270</v>
      </c>
      <c r="B29" s="164" t="s">
        <v>16</v>
      </c>
      <c r="C29" s="5774" t="s">
        <v>22</v>
      </c>
      <c r="D29" s="164" t="s">
        <v>2375</v>
      </c>
      <c r="E29" s="164" t="s">
        <v>2376</v>
      </c>
      <c r="F29" s="164" t="s">
        <v>2353</v>
      </c>
      <c r="G29" s="0" t="s">
        <v>22</v>
      </c>
      <c r="H29" s="0" t="s">
        <v>22</v>
      </c>
      <c r="I29" s="164" t="s">
        <v>830</v>
      </c>
    </row>
    <row customHeight="1" ht="11.25">
      <c r="A30" s="164" t="s">
        <v>2270</v>
      </c>
      <c r="B30" s="164" t="s">
        <v>16</v>
      </c>
      <c r="C30" s="164" t="s">
        <v>2377</v>
      </c>
      <c r="D30" s="164" t="s">
        <v>2378</v>
      </c>
      <c r="E30" s="164" t="s">
        <v>2379</v>
      </c>
      <c r="F30" s="164" t="s">
        <v>2380</v>
      </c>
      <c r="G30" s="0" t="s">
        <v>22</v>
      </c>
      <c r="H30" s="0" t="s">
        <v>22</v>
      </c>
      <c r="I30" s="164" t="s">
        <v>830</v>
      </c>
    </row>
    <row customHeight="1" ht="11.25">
      <c r="A31" s="164" t="s">
        <v>2270</v>
      </c>
      <c r="B31" s="164" t="s">
        <v>16</v>
      </c>
      <c r="C31" s="164" t="s">
        <v>2381</v>
      </c>
      <c r="D31" s="164" t="s">
        <v>2382</v>
      </c>
      <c r="E31" s="164" t="s">
        <v>2383</v>
      </c>
      <c r="F31" s="164" t="s">
        <v>2384</v>
      </c>
      <c r="G31" s="0" t="s">
        <v>22</v>
      </c>
      <c r="H31" s="0" t="s">
        <v>22</v>
      </c>
      <c r="I31" s="164" t="s">
        <v>830</v>
      </c>
    </row>
    <row customHeight="1" ht="11.25">
      <c r="A32" s="164" t="s">
        <v>2270</v>
      </c>
      <c r="B32" s="164" t="s">
        <v>16</v>
      </c>
      <c r="C32" s="164" t="s">
        <v>2385</v>
      </c>
      <c r="D32" s="164" t="s">
        <v>2386</v>
      </c>
      <c r="E32" s="164" t="s">
        <v>2387</v>
      </c>
      <c r="F32" s="164" t="s">
        <v>2388</v>
      </c>
      <c r="G32" s="0" t="s">
        <v>22</v>
      </c>
      <c r="H32" s="0" t="s">
        <v>22</v>
      </c>
      <c r="I32" s="164" t="s">
        <v>830</v>
      </c>
    </row>
    <row customHeight="1" ht="11.25">
      <c r="A33" s="164" t="s">
        <v>2270</v>
      </c>
      <c r="B33" s="164" t="s">
        <v>16</v>
      </c>
      <c r="C33" s="164" t="s">
        <v>2389</v>
      </c>
      <c r="D33" s="164" t="s">
        <v>2390</v>
      </c>
      <c r="E33" s="164" t="s">
        <v>2391</v>
      </c>
      <c r="F33" s="164" t="s">
        <v>2392</v>
      </c>
      <c r="G33" s="164" t="s">
        <v>2393</v>
      </c>
      <c r="H33" s="0" t="s">
        <v>22</v>
      </c>
      <c r="I33" s="164" t="s">
        <v>830</v>
      </c>
    </row>
    <row customHeight="1" ht="11.25">
      <c r="A34" s="164" t="s">
        <v>2270</v>
      </c>
      <c r="B34" s="164" t="s">
        <v>16</v>
      </c>
      <c r="C34" s="164" t="s">
        <v>2394</v>
      </c>
      <c r="D34" s="164" t="s">
        <v>2395</v>
      </c>
      <c r="E34" s="164" t="s">
        <v>2396</v>
      </c>
      <c r="F34" s="164" t="s">
        <v>2311</v>
      </c>
      <c r="G34" s="164" t="s">
        <v>2397</v>
      </c>
      <c r="H34" s="0" t="s">
        <v>22</v>
      </c>
      <c r="I34" s="164" t="s">
        <v>830</v>
      </c>
    </row>
    <row customHeight="1" ht="11.25">
      <c r="A35" s="164" t="s">
        <v>2270</v>
      </c>
      <c r="B35" s="164" t="s">
        <v>16</v>
      </c>
      <c r="C35" s="164" t="s">
        <v>2398</v>
      </c>
      <c r="D35" s="164" t="s">
        <v>2399</v>
      </c>
      <c r="E35" s="164" t="s">
        <v>2400</v>
      </c>
      <c r="F35" s="164" t="s">
        <v>2401</v>
      </c>
      <c r="G35" s="164" t="s">
        <v>2402</v>
      </c>
      <c r="H35" s="0" t="s">
        <v>22</v>
      </c>
      <c r="I35" s="164" t="s">
        <v>830</v>
      </c>
    </row>
    <row customHeight="1" ht="11.25">
      <c r="A36" s="164" t="s">
        <v>2270</v>
      </c>
      <c r="B36" s="164" t="s">
        <v>16</v>
      </c>
      <c r="C36" s="164" t="s">
        <v>2403</v>
      </c>
      <c r="D36" s="164" t="s">
        <v>2404</v>
      </c>
      <c r="E36" s="164" t="s">
        <v>2405</v>
      </c>
      <c r="F36" s="164" t="s">
        <v>2406</v>
      </c>
      <c r="G36" s="0" t="s">
        <v>22</v>
      </c>
      <c r="H36" s="0" t="s">
        <v>22</v>
      </c>
      <c r="I36" s="164" t="s">
        <v>830</v>
      </c>
    </row>
    <row customHeight="1" ht="11.25">
      <c r="A37" s="164" t="s">
        <v>2270</v>
      </c>
      <c r="B37" s="164" t="s">
        <v>16</v>
      </c>
      <c r="C37" s="164" t="s">
        <v>2407</v>
      </c>
      <c r="D37" s="164" t="s">
        <v>2408</v>
      </c>
      <c r="E37" s="164" t="s">
        <v>2409</v>
      </c>
      <c r="F37" s="164" t="s">
        <v>2406</v>
      </c>
      <c r="G37" s="0" t="s">
        <v>22</v>
      </c>
      <c r="H37" s="0" t="s">
        <v>22</v>
      </c>
      <c r="I37" s="164" t="s">
        <v>830</v>
      </c>
    </row>
    <row customHeight="1" ht="11.25">
      <c r="A38" s="164" t="s">
        <v>2270</v>
      </c>
      <c r="B38" s="164" t="s">
        <v>16</v>
      </c>
      <c r="C38" s="164" t="s">
        <v>2410</v>
      </c>
      <c r="D38" s="164" t="s">
        <v>2411</v>
      </c>
      <c r="E38" s="164" t="s">
        <v>2412</v>
      </c>
      <c r="F38" s="164" t="s">
        <v>2311</v>
      </c>
      <c r="G38" s="0" t="s">
        <v>22</v>
      </c>
      <c r="H38" s="0" t="s">
        <v>22</v>
      </c>
      <c r="I38" s="164" t="s">
        <v>830</v>
      </c>
    </row>
    <row customHeight="1" ht="11.25">
      <c r="A39" s="164" t="s">
        <v>2270</v>
      </c>
      <c r="B39" s="164" t="s">
        <v>16</v>
      </c>
      <c r="C39" s="164" t="s">
        <v>2413</v>
      </c>
      <c r="D39" s="164" t="s">
        <v>2414</v>
      </c>
      <c r="E39" s="164" t="s">
        <v>2415</v>
      </c>
      <c r="F39" s="164" t="s">
        <v>2416</v>
      </c>
      <c r="G39" s="164" t="s">
        <v>2417</v>
      </c>
      <c r="H39" s="0" t="s">
        <v>22</v>
      </c>
      <c r="I39" s="164" t="s">
        <v>830</v>
      </c>
    </row>
    <row customHeight="1" ht="11.25">
      <c r="A40" s="164" t="s">
        <v>2270</v>
      </c>
      <c r="B40" s="164" t="s">
        <v>16</v>
      </c>
      <c r="C40" s="164" t="s">
        <v>2418</v>
      </c>
      <c r="D40" s="164" t="s">
        <v>2419</v>
      </c>
      <c r="E40" s="164" t="s">
        <v>2420</v>
      </c>
      <c r="F40" s="164" t="s">
        <v>2319</v>
      </c>
      <c r="G40" s="0" t="s">
        <v>22</v>
      </c>
      <c r="H40" s="0" t="s">
        <v>22</v>
      </c>
      <c r="I40" s="164" t="s">
        <v>830</v>
      </c>
    </row>
    <row customHeight="1" ht="11.25">
      <c r="A41" s="164" t="s">
        <v>2270</v>
      </c>
      <c r="B41" s="164" t="s">
        <v>16</v>
      </c>
      <c r="C41" s="164" t="s">
        <v>2421</v>
      </c>
      <c r="D41" s="164" t="s">
        <v>2422</v>
      </c>
      <c r="E41" s="164" t="s">
        <v>2423</v>
      </c>
      <c r="F41" s="164" t="s">
        <v>2424</v>
      </c>
      <c r="G41" s="0" t="s">
        <v>22</v>
      </c>
      <c r="H41" s="0" t="s">
        <v>22</v>
      </c>
      <c r="I41" s="164" t="s">
        <v>830</v>
      </c>
    </row>
    <row customHeight="1" ht="11.25">
      <c r="A42" s="164" t="s">
        <v>2270</v>
      </c>
      <c r="B42" s="164" t="s">
        <v>16</v>
      </c>
      <c r="C42" s="164" t="s">
        <v>2425</v>
      </c>
      <c r="D42" s="164" t="s">
        <v>2426</v>
      </c>
      <c r="E42" s="164" t="s">
        <v>2427</v>
      </c>
      <c r="F42" s="164" t="s">
        <v>2428</v>
      </c>
      <c r="G42" s="164" t="s">
        <v>2429</v>
      </c>
      <c r="H42" s="0" t="s">
        <v>22</v>
      </c>
      <c r="I42" s="164" t="s">
        <v>830</v>
      </c>
    </row>
    <row customHeight="1" ht="11.25">
      <c r="A43" s="164" t="s">
        <v>2270</v>
      </c>
      <c r="B43" s="164" t="s">
        <v>16</v>
      </c>
      <c r="C43" s="164" t="s">
        <v>2430</v>
      </c>
      <c r="D43" s="164" t="s">
        <v>2431</v>
      </c>
      <c r="E43" s="164" t="s">
        <v>2432</v>
      </c>
      <c r="F43" s="164" t="s">
        <v>2433</v>
      </c>
      <c r="G43" s="0" t="s">
        <v>22</v>
      </c>
      <c r="H43" s="0" t="s">
        <v>22</v>
      </c>
      <c r="I43" s="164" t="s">
        <v>830</v>
      </c>
    </row>
    <row customHeight="1" ht="11.25">
      <c r="A44" s="164" t="s">
        <v>2270</v>
      </c>
      <c r="B44" s="164" t="s">
        <v>16</v>
      </c>
      <c r="C44" s="164" t="s">
        <v>2434</v>
      </c>
      <c r="D44" s="164" t="s">
        <v>2435</v>
      </c>
      <c r="E44" s="164" t="s">
        <v>2436</v>
      </c>
      <c r="F44" s="164" t="s">
        <v>2437</v>
      </c>
      <c r="G44" s="0" t="s">
        <v>22</v>
      </c>
      <c r="H44" s="0" t="s">
        <v>22</v>
      </c>
      <c r="I44" s="164" t="s">
        <v>830</v>
      </c>
    </row>
    <row customHeight="1" ht="11.25">
      <c r="A45" s="164" t="s">
        <v>2270</v>
      </c>
      <c r="B45" s="164" t="s">
        <v>16</v>
      </c>
      <c r="C45" s="164" t="s">
        <v>2438</v>
      </c>
      <c r="D45" s="164" t="s">
        <v>2439</v>
      </c>
      <c r="E45" s="164" t="s">
        <v>2440</v>
      </c>
      <c r="F45" s="164" t="s">
        <v>2441</v>
      </c>
      <c r="G45" s="0" t="s">
        <v>22</v>
      </c>
      <c r="H45" s="0" t="s">
        <v>22</v>
      </c>
      <c r="I45" s="164" t="s">
        <v>830</v>
      </c>
    </row>
    <row customHeight="1" ht="11.25">
      <c r="A46" s="164" t="s">
        <v>2270</v>
      </c>
      <c r="B46" s="164" t="s">
        <v>16</v>
      </c>
      <c r="C46" s="164" t="s">
        <v>2442</v>
      </c>
      <c r="D46" s="164" t="s">
        <v>2443</v>
      </c>
      <c r="E46" s="164" t="s">
        <v>2444</v>
      </c>
      <c r="F46" s="164" t="s">
        <v>2380</v>
      </c>
      <c r="G46" s="0" t="s">
        <v>22</v>
      </c>
      <c r="H46" s="0" t="s">
        <v>22</v>
      </c>
      <c r="I46" s="164" t="s">
        <v>830</v>
      </c>
    </row>
    <row customHeight="1" ht="11.25">
      <c r="A47" s="164" t="s">
        <v>2270</v>
      </c>
      <c r="B47" s="164" t="s">
        <v>16</v>
      </c>
      <c r="C47" s="164" t="s">
        <v>2445</v>
      </c>
      <c r="D47" s="164" t="s">
        <v>2446</v>
      </c>
      <c r="E47" s="164" t="s">
        <v>2447</v>
      </c>
      <c r="F47" s="164" t="s">
        <v>2448</v>
      </c>
      <c r="G47" s="0" t="s">
        <v>22</v>
      </c>
      <c r="H47" s="0" t="s">
        <v>22</v>
      </c>
      <c r="I47" s="164" t="s">
        <v>830</v>
      </c>
    </row>
    <row customHeight="1" ht="11.25">
      <c r="A48" s="164" t="s">
        <v>2270</v>
      </c>
      <c r="B48" s="164" t="s">
        <v>16</v>
      </c>
      <c r="C48" s="164" t="s">
        <v>2449</v>
      </c>
      <c r="D48" s="164" t="s">
        <v>2450</v>
      </c>
      <c r="E48" s="164" t="s">
        <v>2451</v>
      </c>
      <c r="F48" s="164" t="s">
        <v>2452</v>
      </c>
      <c r="G48" s="0" t="s">
        <v>22</v>
      </c>
      <c r="H48" s="0" t="s">
        <v>22</v>
      </c>
      <c r="I48" s="164" t="s">
        <v>830</v>
      </c>
    </row>
    <row customHeight="1" ht="11.25">
      <c r="A49" s="164" t="s">
        <v>2270</v>
      </c>
      <c r="B49" s="164" t="s">
        <v>16</v>
      </c>
      <c r="C49" s="164" t="s">
        <v>2453</v>
      </c>
      <c r="D49" s="164" t="s">
        <v>2454</v>
      </c>
      <c r="E49" s="164" t="s">
        <v>2455</v>
      </c>
      <c r="F49" s="164" t="s">
        <v>2392</v>
      </c>
      <c r="G49" s="0" t="s">
        <v>22</v>
      </c>
      <c r="H49" s="0" t="s">
        <v>22</v>
      </c>
      <c r="I49" s="164" t="s">
        <v>830</v>
      </c>
    </row>
    <row customHeight="1" ht="11.25">
      <c r="A50" s="164" t="s">
        <v>2270</v>
      </c>
      <c r="B50" s="164" t="s">
        <v>16</v>
      </c>
      <c r="C50" s="164" t="s">
        <v>2456</v>
      </c>
      <c r="D50" s="164" t="s">
        <v>2457</v>
      </c>
      <c r="E50" s="164" t="s">
        <v>2458</v>
      </c>
      <c r="F50" s="164" t="s">
        <v>2459</v>
      </c>
      <c r="G50" s="0" t="s">
        <v>22</v>
      </c>
      <c r="H50" s="0" t="s">
        <v>22</v>
      </c>
      <c r="I50" s="164" t="s">
        <v>830</v>
      </c>
    </row>
    <row customHeight="1" ht="11.25">
      <c r="A51" s="164" t="s">
        <v>2270</v>
      </c>
      <c r="B51" s="164" t="s">
        <v>16</v>
      </c>
      <c r="C51" s="164" t="s">
        <v>2460</v>
      </c>
      <c r="D51" s="164" t="s">
        <v>2461</v>
      </c>
      <c r="E51" s="164" t="s">
        <v>2462</v>
      </c>
      <c r="F51" s="164" t="s">
        <v>2463</v>
      </c>
      <c r="G51" s="0" t="s">
        <v>22</v>
      </c>
      <c r="H51" s="0" t="s">
        <v>22</v>
      </c>
      <c r="I51" s="164" t="s">
        <v>830</v>
      </c>
    </row>
    <row customHeight="1" ht="11.25">
      <c r="A52" s="164" t="s">
        <v>2270</v>
      </c>
      <c r="B52" s="164" t="s">
        <v>16</v>
      </c>
      <c r="C52" s="164" t="s">
        <v>2464</v>
      </c>
      <c r="D52" s="164" t="s">
        <v>2465</v>
      </c>
      <c r="E52" s="164" t="s">
        <v>2466</v>
      </c>
      <c r="F52" s="164" t="s">
        <v>2467</v>
      </c>
      <c r="G52" s="0" t="s">
        <v>22</v>
      </c>
      <c r="H52" s="0" t="s">
        <v>22</v>
      </c>
      <c r="I52" s="164" t="s">
        <v>830</v>
      </c>
    </row>
    <row customHeight="1" ht="11.25">
      <c r="A53" s="164" t="s">
        <v>2270</v>
      </c>
      <c r="B53" s="164" t="s">
        <v>16</v>
      </c>
      <c r="C53" s="164" t="s">
        <v>2468</v>
      </c>
      <c r="D53" s="164" t="s">
        <v>2469</v>
      </c>
      <c r="E53" s="164" t="s">
        <v>2470</v>
      </c>
      <c r="F53" s="164" t="s">
        <v>2471</v>
      </c>
      <c r="G53" s="0" t="s">
        <v>22</v>
      </c>
      <c r="H53" s="0" t="s">
        <v>22</v>
      </c>
      <c r="I53" s="164" t="s">
        <v>830</v>
      </c>
    </row>
    <row customHeight="1" ht="11.25">
      <c r="A54" s="164" t="s">
        <v>2270</v>
      </c>
      <c r="B54" s="164" t="s">
        <v>16</v>
      </c>
      <c r="C54" s="164" t="s">
        <v>2472</v>
      </c>
      <c r="D54" s="164" t="s">
        <v>2473</v>
      </c>
      <c r="E54" s="164" t="s">
        <v>2474</v>
      </c>
      <c r="F54" s="164" t="s">
        <v>2475</v>
      </c>
      <c r="G54" s="0" t="s">
        <v>22</v>
      </c>
      <c r="H54" s="0" t="s">
        <v>22</v>
      </c>
      <c r="I54" s="164" t="s">
        <v>830</v>
      </c>
    </row>
    <row customHeight="1" ht="11.25">
      <c r="A55" s="164" t="s">
        <v>2270</v>
      </c>
      <c r="B55" s="164" t="s">
        <v>16</v>
      </c>
      <c r="C55" s="164" t="s">
        <v>2476</v>
      </c>
      <c r="D55" s="164" t="s">
        <v>2477</v>
      </c>
      <c r="E55" s="164" t="s">
        <v>2478</v>
      </c>
      <c r="F55" s="164" t="s">
        <v>2349</v>
      </c>
      <c r="G55" s="0" t="s">
        <v>22</v>
      </c>
      <c r="H55" s="0" t="s">
        <v>22</v>
      </c>
      <c r="I55" s="164" t="s">
        <v>830</v>
      </c>
    </row>
    <row customHeight="1" ht="11.25">
      <c r="A56" s="164" t="s">
        <v>2270</v>
      </c>
      <c r="B56" s="164" t="s">
        <v>16</v>
      </c>
      <c r="C56" s="164" t="s">
        <v>2479</v>
      </c>
      <c r="D56" s="164" t="s">
        <v>2480</v>
      </c>
      <c r="E56" s="164" t="s">
        <v>2481</v>
      </c>
      <c r="F56" s="164" t="s">
        <v>2482</v>
      </c>
      <c r="G56" s="0" t="s">
        <v>22</v>
      </c>
      <c r="H56" s="0" t="s">
        <v>22</v>
      </c>
      <c r="I56" s="164" t="s">
        <v>830</v>
      </c>
    </row>
    <row customHeight="1" ht="11.25">
      <c r="A57" s="164" t="s">
        <v>2270</v>
      </c>
      <c r="B57" s="164" t="s">
        <v>16</v>
      </c>
      <c r="C57" s="164" t="s">
        <v>2483</v>
      </c>
      <c r="D57" s="164" t="s">
        <v>2484</v>
      </c>
      <c r="E57" s="164" t="s">
        <v>2485</v>
      </c>
      <c r="F57" s="164" t="s">
        <v>2486</v>
      </c>
      <c r="G57" s="0" t="s">
        <v>22</v>
      </c>
      <c r="H57" s="0" t="s">
        <v>22</v>
      </c>
      <c r="I57" s="164" t="s">
        <v>830</v>
      </c>
    </row>
    <row customHeight="1" ht="11.25">
      <c r="A58" s="164" t="s">
        <v>2270</v>
      </c>
      <c r="B58" s="164" t="s">
        <v>16</v>
      </c>
      <c r="C58" s="164" t="s">
        <v>2487</v>
      </c>
      <c r="D58" s="164" t="s">
        <v>2488</v>
      </c>
      <c r="E58" s="164" t="s">
        <v>2489</v>
      </c>
      <c r="F58" s="164" t="s">
        <v>2311</v>
      </c>
      <c r="G58" s="0" t="s">
        <v>22</v>
      </c>
      <c r="H58" s="0" t="s">
        <v>22</v>
      </c>
      <c r="I58" s="164" t="s">
        <v>830</v>
      </c>
    </row>
    <row customHeight="1" ht="11.25">
      <c r="A59" s="164" t="s">
        <v>2270</v>
      </c>
      <c r="B59" s="164" t="s">
        <v>16</v>
      </c>
      <c r="C59" s="164" t="s">
        <v>2490</v>
      </c>
      <c r="D59" s="164" t="s">
        <v>2491</v>
      </c>
      <c r="E59" s="164" t="s">
        <v>2492</v>
      </c>
      <c r="F59" s="164" t="s">
        <v>2345</v>
      </c>
      <c r="G59" s="0" t="s">
        <v>22</v>
      </c>
      <c r="H59" s="0" t="s">
        <v>22</v>
      </c>
      <c r="I59" s="164" t="s">
        <v>830</v>
      </c>
    </row>
    <row customHeight="1" ht="11.25">
      <c r="A60" s="164" t="s">
        <v>2270</v>
      </c>
      <c r="B60" s="164" t="s">
        <v>16</v>
      </c>
      <c r="C60" s="164" t="s">
        <v>2493</v>
      </c>
      <c r="D60" s="164" t="s">
        <v>2494</v>
      </c>
      <c r="E60" s="164" t="s">
        <v>2495</v>
      </c>
      <c r="F60" s="164" t="s">
        <v>2496</v>
      </c>
      <c r="G60" s="0" t="s">
        <v>22</v>
      </c>
      <c r="H60" s="0" t="s">
        <v>22</v>
      </c>
      <c r="I60" s="164" t="s">
        <v>830</v>
      </c>
    </row>
    <row customHeight="1" ht="11.25">
      <c r="A61" s="164" t="s">
        <v>2270</v>
      </c>
      <c r="B61" s="164" t="s">
        <v>16</v>
      </c>
      <c r="C61" s="164" t="s">
        <v>2497</v>
      </c>
      <c r="D61" s="164" t="s">
        <v>2498</v>
      </c>
      <c r="E61" s="164" t="s">
        <v>2499</v>
      </c>
      <c r="F61" s="164" t="s">
        <v>2500</v>
      </c>
      <c r="G61" s="0" t="s">
        <v>22</v>
      </c>
      <c r="H61" s="0" t="s">
        <v>22</v>
      </c>
      <c r="I61" s="164" t="s">
        <v>830</v>
      </c>
    </row>
    <row customHeight="1" ht="11.25">
      <c r="A62" s="164" t="s">
        <v>2270</v>
      </c>
      <c r="B62" s="164" t="s">
        <v>16</v>
      </c>
      <c r="C62" s="164" t="s">
        <v>2501</v>
      </c>
      <c r="D62" s="164" t="s">
        <v>2502</v>
      </c>
      <c r="E62" s="164" t="s">
        <v>2503</v>
      </c>
      <c r="F62" s="164" t="s">
        <v>2401</v>
      </c>
      <c r="G62" s="0" t="s">
        <v>22</v>
      </c>
      <c r="H62" s="0" t="s">
        <v>22</v>
      </c>
      <c r="I62" s="164" t="s">
        <v>830</v>
      </c>
    </row>
    <row customHeight="1" ht="11.25">
      <c r="A63" s="164" t="s">
        <v>2270</v>
      </c>
      <c r="B63" s="164" t="s">
        <v>16</v>
      </c>
      <c r="C63" s="164" t="s">
        <v>2504</v>
      </c>
      <c r="D63" s="164" t="s">
        <v>2505</v>
      </c>
      <c r="E63" s="164" t="s">
        <v>2506</v>
      </c>
      <c r="F63" s="164" t="s">
        <v>2357</v>
      </c>
      <c r="G63" s="0" t="s">
        <v>22</v>
      </c>
      <c r="H63" s="0" t="s">
        <v>22</v>
      </c>
      <c r="I63" s="164" t="s">
        <v>830</v>
      </c>
    </row>
    <row customHeight="1" ht="11.25">
      <c r="A64" s="164" t="s">
        <v>2270</v>
      </c>
      <c r="B64" s="164" t="s">
        <v>16</v>
      </c>
      <c r="C64" s="164" t="s">
        <v>2507</v>
      </c>
      <c r="D64" s="164" t="s">
        <v>2508</v>
      </c>
      <c r="E64" s="164" t="s">
        <v>2509</v>
      </c>
      <c r="F64" s="164" t="s">
        <v>2353</v>
      </c>
      <c r="G64" s="0" t="s">
        <v>22</v>
      </c>
      <c r="H64" s="0" t="s">
        <v>22</v>
      </c>
      <c r="I64" s="164" t="s">
        <v>830</v>
      </c>
    </row>
    <row customHeight="1" ht="11.25">
      <c r="A65" s="164" t="s">
        <v>2270</v>
      </c>
      <c r="B65" s="164" t="s">
        <v>16</v>
      </c>
      <c r="C65" s="164" t="s">
        <v>2510</v>
      </c>
      <c r="D65" s="164" t="s">
        <v>2511</v>
      </c>
      <c r="E65" s="164" t="s">
        <v>2512</v>
      </c>
      <c r="F65" s="164" t="s">
        <v>2357</v>
      </c>
      <c r="G65" s="164" t="s">
        <v>2513</v>
      </c>
      <c r="H65" s="0" t="s">
        <v>22</v>
      </c>
      <c r="I65" s="164" t="s">
        <v>830</v>
      </c>
    </row>
    <row customHeight="1" ht="11.25">
      <c r="A66" s="164" t="s">
        <v>2270</v>
      </c>
      <c r="B66" s="164" t="s">
        <v>16</v>
      </c>
      <c r="C66" s="164" t="s">
        <v>2514</v>
      </c>
      <c r="D66" s="164" t="s">
        <v>2515</v>
      </c>
      <c r="E66" s="164" t="s">
        <v>2516</v>
      </c>
      <c r="F66" s="164" t="s">
        <v>2357</v>
      </c>
      <c r="G66" s="0" t="s">
        <v>22</v>
      </c>
      <c r="H66" s="0" t="s">
        <v>22</v>
      </c>
      <c r="I66" s="164" t="s">
        <v>830</v>
      </c>
    </row>
    <row customHeight="1" ht="11.25">
      <c r="A67" s="164" t="s">
        <v>2270</v>
      </c>
      <c r="B67" s="164" t="s">
        <v>16</v>
      </c>
      <c r="C67" s="164" t="s">
        <v>2517</v>
      </c>
      <c r="D67" s="164" t="s">
        <v>2518</v>
      </c>
      <c r="E67" s="164" t="s">
        <v>2519</v>
      </c>
      <c r="F67" s="164" t="s">
        <v>2349</v>
      </c>
      <c r="G67" s="0" t="s">
        <v>22</v>
      </c>
      <c r="H67" s="0" t="s">
        <v>22</v>
      </c>
      <c r="I67" s="164" t="s">
        <v>830</v>
      </c>
    </row>
    <row customHeight="1" ht="11.25">
      <c r="A68" s="164" t="s">
        <v>2270</v>
      </c>
      <c r="B68" s="164" t="s">
        <v>16</v>
      </c>
      <c r="C68" s="164" t="s">
        <v>2520</v>
      </c>
      <c r="D68" s="164" t="s">
        <v>2521</v>
      </c>
      <c r="E68" s="164" t="s">
        <v>2522</v>
      </c>
      <c r="F68" s="164" t="s">
        <v>2357</v>
      </c>
      <c r="G68" s="0" t="s">
        <v>22</v>
      </c>
      <c r="H68" s="0" t="s">
        <v>22</v>
      </c>
      <c r="I68" s="164" t="s">
        <v>830</v>
      </c>
    </row>
    <row customHeight="1" ht="11.25">
      <c r="A69" s="164" t="s">
        <v>2270</v>
      </c>
      <c r="B69" s="164" t="s">
        <v>16</v>
      </c>
      <c r="C69" s="164" t="s">
        <v>2523</v>
      </c>
      <c r="D69" s="164" t="s">
        <v>2524</v>
      </c>
      <c r="E69" s="164" t="s">
        <v>2525</v>
      </c>
      <c r="F69" s="164" t="s">
        <v>2349</v>
      </c>
      <c r="G69" s="0" t="s">
        <v>22</v>
      </c>
      <c r="H69" s="0" t="s">
        <v>22</v>
      </c>
      <c r="I69" s="164" t="s">
        <v>830</v>
      </c>
    </row>
    <row customHeight="1" ht="11.25">
      <c r="A70" s="164" t="s">
        <v>2270</v>
      </c>
      <c r="B70" s="164" t="s">
        <v>16</v>
      </c>
      <c r="C70" s="164" t="s">
        <v>2526</v>
      </c>
      <c r="D70" s="164" t="s">
        <v>2527</v>
      </c>
      <c r="E70" s="164" t="s">
        <v>2528</v>
      </c>
      <c r="F70" s="164" t="s">
        <v>2529</v>
      </c>
      <c r="G70" s="0" t="s">
        <v>22</v>
      </c>
      <c r="H70" s="0" t="s">
        <v>22</v>
      </c>
      <c r="I70" s="164" t="s">
        <v>830</v>
      </c>
    </row>
    <row customHeight="1" ht="11.25">
      <c r="A71" s="164" t="s">
        <v>2270</v>
      </c>
      <c r="B71" s="164" t="s">
        <v>16</v>
      </c>
      <c r="C71" s="164" t="s">
        <v>2530</v>
      </c>
      <c r="D71" s="164" t="s">
        <v>2531</v>
      </c>
      <c r="E71" s="164" t="s">
        <v>2532</v>
      </c>
      <c r="F71" s="164" t="s">
        <v>2533</v>
      </c>
      <c r="G71" s="0" t="s">
        <v>22</v>
      </c>
      <c r="H71" s="0" t="s">
        <v>22</v>
      </c>
      <c r="I71" s="164" t="s">
        <v>830</v>
      </c>
    </row>
    <row customHeight="1" ht="11.25">
      <c r="A72" s="164" t="s">
        <v>2270</v>
      </c>
      <c r="B72" s="164" t="s">
        <v>16</v>
      </c>
      <c r="C72" s="164" t="s">
        <v>2534</v>
      </c>
      <c r="D72" s="164" t="s">
        <v>2535</v>
      </c>
      <c r="E72" s="164" t="s">
        <v>2536</v>
      </c>
      <c r="F72" s="164" t="s">
        <v>2537</v>
      </c>
      <c r="G72" s="0" t="s">
        <v>22</v>
      </c>
      <c r="H72" s="0" t="s">
        <v>22</v>
      </c>
      <c r="I72" s="164" t="s">
        <v>830</v>
      </c>
    </row>
    <row customHeight="1" ht="11.25">
      <c r="A73" s="164" t="s">
        <v>2270</v>
      </c>
      <c r="B73" s="164" t="s">
        <v>16</v>
      </c>
      <c r="C73" s="164" t="s">
        <v>2538</v>
      </c>
      <c r="D73" s="164" t="s">
        <v>2539</v>
      </c>
      <c r="E73" s="164" t="s">
        <v>2540</v>
      </c>
      <c r="F73" s="164" t="s">
        <v>2541</v>
      </c>
      <c r="G73" s="0" t="s">
        <v>22</v>
      </c>
      <c r="H73" s="0" t="s">
        <v>22</v>
      </c>
      <c r="I73" s="164" t="s">
        <v>830</v>
      </c>
    </row>
    <row customHeight="1" ht="11.25">
      <c r="A74" s="164" t="s">
        <v>2270</v>
      </c>
      <c r="B74" s="164" t="s">
        <v>16</v>
      </c>
      <c r="C74" s="164" t="s">
        <v>2542</v>
      </c>
      <c r="D74" s="164" t="s">
        <v>2543</v>
      </c>
      <c r="E74" s="164" t="s">
        <v>2544</v>
      </c>
      <c r="F74" s="164" t="s">
        <v>2545</v>
      </c>
      <c r="G74" s="0" t="s">
        <v>22</v>
      </c>
      <c r="H74" s="0" t="s">
        <v>22</v>
      </c>
      <c r="I74" s="164" t="s">
        <v>830</v>
      </c>
    </row>
    <row customHeight="1" ht="11.25">
      <c r="A75" s="164" t="s">
        <v>2270</v>
      </c>
      <c r="B75" s="164" t="s">
        <v>16</v>
      </c>
      <c r="C75" s="164" t="s">
        <v>2546</v>
      </c>
      <c r="D75" s="164" t="s">
        <v>2547</v>
      </c>
      <c r="E75" s="164" t="s">
        <v>2544</v>
      </c>
      <c r="F75" s="164" t="s">
        <v>2548</v>
      </c>
      <c r="G75" s="0" t="s">
        <v>22</v>
      </c>
      <c r="H75" s="0" t="s">
        <v>22</v>
      </c>
      <c r="I75" s="164" t="s">
        <v>830</v>
      </c>
    </row>
    <row customHeight="1" ht="11.25">
      <c r="A76" s="164" t="s">
        <v>2270</v>
      </c>
      <c r="B76" s="164" t="s">
        <v>16</v>
      </c>
      <c r="C76" s="164" t="s">
        <v>2549</v>
      </c>
      <c r="D76" s="164" t="s">
        <v>2550</v>
      </c>
      <c r="E76" s="164" t="s">
        <v>2551</v>
      </c>
      <c r="F76" s="164" t="s">
        <v>2552</v>
      </c>
      <c r="G76" s="0" t="s">
        <v>22</v>
      </c>
      <c r="H76" s="0" t="s">
        <v>22</v>
      </c>
      <c r="I76" s="164" t="s">
        <v>830</v>
      </c>
    </row>
    <row customHeight="1" ht="11.25">
      <c r="A77" s="164" t="s">
        <v>2270</v>
      </c>
      <c r="B77" s="164" t="s">
        <v>16</v>
      </c>
      <c r="C77" s="164" t="s">
        <v>2553</v>
      </c>
      <c r="D77" s="164" t="s">
        <v>2554</v>
      </c>
      <c r="E77" s="164" t="s">
        <v>2555</v>
      </c>
      <c r="F77" s="164" t="s">
        <v>2274</v>
      </c>
      <c r="G77" s="0" t="s">
        <v>22</v>
      </c>
      <c r="H77" s="0" t="s">
        <v>22</v>
      </c>
      <c r="I77" s="164" t="s">
        <v>830</v>
      </c>
    </row>
    <row customHeight="1" ht="11.25">
      <c r="A78" s="164" t="s">
        <v>2270</v>
      </c>
      <c r="B78" s="164" t="s">
        <v>16</v>
      </c>
      <c r="C78" s="164" t="s">
        <v>2556</v>
      </c>
      <c r="D78" s="164" t="s">
        <v>2557</v>
      </c>
      <c r="E78" s="164" t="s">
        <v>2558</v>
      </c>
      <c r="F78" s="164" t="s">
        <v>2559</v>
      </c>
      <c r="G78" s="0" t="s">
        <v>22</v>
      </c>
      <c r="H78" s="0" t="s">
        <v>22</v>
      </c>
      <c r="I78" s="164" t="s">
        <v>830</v>
      </c>
    </row>
    <row customHeight="1" ht="11.25">
      <c r="A79" s="164" t="s">
        <v>2270</v>
      </c>
      <c r="B79" s="164" t="s">
        <v>16</v>
      </c>
      <c r="C79" s="164" t="s">
        <v>2560</v>
      </c>
      <c r="D79" s="164" t="s">
        <v>2561</v>
      </c>
      <c r="E79" s="164" t="s">
        <v>2562</v>
      </c>
      <c r="F79" s="164" t="s">
        <v>2349</v>
      </c>
      <c r="G79" s="0" t="s">
        <v>22</v>
      </c>
      <c r="H79" s="0" t="s">
        <v>22</v>
      </c>
      <c r="I79" s="164" t="s">
        <v>830</v>
      </c>
    </row>
    <row customHeight="1" ht="11.25">
      <c r="A80" s="164" t="s">
        <v>2270</v>
      </c>
      <c r="B80" s="164" t="s">
        <v>16</v>
      </c>
      <c r="C80" s="164" t="s">
        <v>2563</v>
      </c>
      <c r="D80" s="164" t="s">
        <v>2564</v>
      </c>
      <c r="E80" s="164" t="s">
        <v>2565</v>
      </c>
      <c r="F80" s="164" t="s">
        <v>2566</v>
      </c>
      <c r="G80" s="0" t="s">
        <v>22</v>
      </c>
      <c r="H80" s="0" t="s">
        <v>22</v>
      </c>
      <c r="I80" s="164" t="s">
        <v>830</v>
      </c>
    </row>
    <row customHeight="1" ht="11.25">
      <c r="A81" s="164" t="s">
        <v>2270</v>
      </c>
      <c r="B81" s="164" t="s">
        <v>16</v>
      </c>
      <c r="C81" s="164" t="s">
        <v>2567</v>
      </c>
      <c r="D81" s="164" t="s">
        <v>2568</v>
      </c>
      <c r="E81" s="164" t="s">
        <v>2569</v>
      </c>
      <c r="F81" s="164" t="s">
        <v>50</v>
      </c>
      <c r="G81" s="0" t="s">
        <v>22</v>
      </c>
      <c r="H81" s="0" t="s">
        <v>22</v>
      </c>
      <c r="I81" s="164" t="s">
        <v>830</v>
      </c>
    </row>
    <row customHeight="1" ht="11.25">
      <c r="A82" s="164" t="s">
        <v>2270</v>
      </c>
      <c r="B82" s="164" t="s">
        <v>16</v>
      </c>
      <c r="C82" s="164" t="s">
        <v>2570</v>
      </c>
      <c r="D82" s="164" t="s">
        <v>2571</v>
      </c>
      <c r="E82" s="164" t="s">
        <v>2572</v>
      </c>
      <c r="F82" s="164" t="s">
        <v>2357</v>
      </c>
      <c r="G82" s="164" t="s">
        <v>2573</v>
      </c>
      <c r="H82" s="164" t="s">
        <v>2574</v>
      </c>
      <c r="I82" s="164" t="s">
        <v>830</v>
      </c>
    </row>
    <row customHeight="1" ht="11.25">
      <c r="A83" s="164" t="s">
        <v>2270</v>
      </c>
      <c r="B83" s="164" t="s">
        <v>16</v>
      </c>
      <c r="C83" s="164" t="s">
        <v>2575</v>
      </c>
      <c r="D83" s="164" t="s">
        <v>2576</v>
      </c>
      <c r="E83" s="164" t="s">
        <v>2577</v>
      </c>
      <c r="F83" s="164" t="s">
        <v>2274</v>
      </c>
      <c r="G83" s="0" t="s">
        <v>22</v>
      </c>
      <c r="H83" s="0" t="s">
        <v>22</v>
      </c>
      <c r="I83" s="164" t="s">
        <v>830</v>
      </c>
    </row>
    <row customHeight="1" ht="11.25">
      <c r="A84" s="164" t="s">
        <v>2270</v>
      </c>
      <c r="B84" s="164" t="s">
        <v>16</v>
      </c>
      <c r="C84" s="164" t="s">
        <v>2578</v>
      </c>
      <c r="D84" s="164" t="s">
        <v>2579</v>
      </c>
      <c r="E84" s="164" t="s">
        <v>2580</v>
      </c>
      <c r="F84" s="164" t="s">
        <v>2433</v>
      </c>
      <c r="G84" s="0" t="s">
        <v>22</v>
      </c>
      <c r="H84" s="0" t="s">
        <v>22</v>
      </c>
      <c r="I84" s="164" t="s">
        <v>830</v>
      </c>
    </row>
    <row customHeight="1" ht="11.25">
      <c r="A85" s="164" t="s">
        <v>2270</v>
      </c>
      <c r="B85" s="164" t="s">
        <v>16</v>
      </c>
      <c r="C85" s="164" t="s">
        <v>2581</v>
      </c>
      <c r="D85" s="164" t="s">
        <v>2582</v>
      </c>
      <c r="E85" s="164" t="s">
        <v>2583</v>
      </c>
      <c r="F85" s="164" t="s">
        <v>2286</v>
      </c>
      <c r="G85" s="0" t="s">
        <v>22</v>
      </c>
      <c r="H85" s="0" t="s">
        <v>22</v>
      </c>
      <c r="I85" s="164" t="s">
        <v>830</v>
      </c>
    </row>
    <row customHeight="1" ht="11.25">
      <c r="A86" s="164" t="s">
        <v>2270</v>
      </c>
      <c r="B86" s="164" t="s">
        <v>16</v>
      </c>
      <c r="C86" s="164" t="s">
        <v>2584</v>
      </c>
      <c r="D86" s="164" t="s">
        <v>2585</v>
      </c>
      <c r="E86" s="164" t="s">
        <v>2586</v>
      </c>
      <c r="F86" s="164" t="s">
        <v>2587</v>
      </c>
      <c r="G86" s="0" t="s">
        <v>22</v>
      </c>
      <c r="H86" s="0" t="s">
        <v>22</v>
      </c>
      <c r="I86" s="164" t="s">
        <v>830</v>
      </c>
    </row>
    <row customHeight="1" ht="11.25">
      <c r="A87" s="164" t="s">
        <v>2270</v>
      </c>
      <c r="B87" s="164" t="s">
        <v>16</v>
      </c>
      <c r="C87" s="164" t="s">
        <v>2588</v>
      </c>
      <c r="D87" s="164" t="s">
        <v>2589</v>
      </c>
      <c r="E87" s="164" t="s">
        <v>2590</v>
      </c>
      <c r="F87" s="164" t="s">
        <v>2357</v>
      </c>
      <c r="G87" s="0" t="s">
        <v>22</v>
      </c>
      <c r="H87" s="0" t="s">
        <v>22</v>
      </c>
      <c r="I87" s="164" t="s">
        <v>830</v>
      </c>
    </row>
    <row customHeight="1" ht="11.25">
      <c r="A88" s="164" t="s">
        <v>2270</v>
      </c>
      <c r="B88" s="164" t="s">
        <v>16</v>
      </c>
      <c r="C88" s="164" t="s">
        <v>2591</v>
      </c>
      <c r="D88" s="164" t="s">
        <v>2592</v>
      </c>
      <c r="E88" s="164" t="s">
        <v>2593</v>
      </c>
      <c r="F88" s="164" t="s">
        <v>2349</v>
      </c>
      <c r="G88" s="164" t="s">
        <v>2594</v>
      </c>
      <c r="H88" s="0" t="s">
        <v>22</v>
      </c>
      <c r="I88" s="164" t="s">
        <v>830</v>
      </c>
    </row>
    <row customHeight="1" ht="11.25">
      <c r="A89" s="164" t="s">
        <v>2270</v>
      </c>
      <c r="B89" s="164" t="s">
        <v>16</v>
      </c>
      <c r="C89" s="164" t="s">
        <v>2595</v>
      </c>
      <c r="D89" s="164" t="s">
        <v>2596</v>
      </c>
      <c r="E89" s="164" t="s">
        <v>2597</v>
      </c>
      <c r="F89" s="164" t="s">
        <v>2598</v>
      </c>
      <c r="G89" s="0" t="s">
        <v>22</v>
      </c>
      <c r="H89" s="0" t="s">
        <v>22</v>
      </c>
      <c r="I89" s="164" t="s">
        <v>830</v>
      </c>
    </row>
    <row customHeight="1" ht="11.25">
      <c r="A90" s="164" t="s">
        <v>2270</v>
      </c>
      <c r="B90" s="164" t="s">
        <v>16</v>
      </c>
      <c r="C90" s="164" t="s">
        <v>2599</v>
      </c>
      <c r="D90" s="164" t="s">
        <v>2600</v>
      </c>
      <c r="E90" s="164" t="s">
        <v>2601</v>
      </c>
      <c r="F90" s="164" t="s">
        <v>2349</v>
      </c>
      <c r="G90" s="164" t="s">
        <v>2602</v>
      </c>
      <c r="H90" s="0" t="s">
        <v>22</v>
      </c>
      <c r="I90" s="164" t="s">
        <v>830</v>
      </c>
    </row>
    <row customHeight="1" ht="11.25">
      <c r="A91" s="164" t="s">
        <v>2270</v>
      </c>
      <c r="B91" s="164" t="s">
        <v>16</v>
      </c>
      <c r="C91" s="164" t="s">
        <v>2603</v>
      </c>
      <c r="D91" s="164" t="s">
        <v>2604</v>
      </c>
      <c r="E91" s="164" t="s">
        <v>2605</v>
      </c>
      <c r="F91" s="164" t="s">
        <v>2274</v>
      </c>
      <c r="G91" s="164" t="s">
        <v>2402</v>
      </c>
      <c r="H91" s="0" t="s">
        <v>22</v>
      </c>
      <c r="I91" s="164" t="s">
        <v>830</v>
      </c>
    </row>
    <row customHeight="1" ht="11.25">
      <c r="A92" s="164" t="s">
        <v>2270</v>
      </c>
      <c r="B92" s="164" t="s">
        <v>16</v>
      </c>
      <c r="C92" s="164" t="s">
        <v>2606</v>
      </c>
      <c r="D92" s="164" t="s">
        <v>2607</v>
      </c>
      <c r="E92" s="164" t="s">
        <v>2608</v>
      </c>
      <c r="F92" s="164" t="s">
        <v>2609</v>
      </c>
      <c r="G92" s="0" t="s">
        <v>22</v>
      </c>
      <c r="H92" s="0" t="s">
        <v>22</v>
      </c>
      <c r="I92" s="164" t="s">
        <v>830</v>
      </c>
    </row>
    <row customHeight="1" ht="11.25">
      <c r="A93" s="164" t="s">
        <v>2270</v>
      </c>
      <c r="B93" s="164" t="s">
        <v>16</v>
      </c>
      <c r="C93" s="164" t="s">
        <v>2610</v>
      </c>
      <c r="D93" s="164" t="s">
        <v>2611</v>
      </c>
      <c r="E93" s="164" t="s">
        <v>2612</v>
      </c>
      <c r="F93" s="164" t="s">
        <v>2452</v>
      </c>
      <c r="G93" s="0" t="s">
        <v>22</v>
      </c>
      <c r="H93" s="0" t="s">
        <v>22</v>
      </c>
      <c r="I93" s="164" t="s">
        <v>830</v>
      </c>
    </row>
    <row customHeight="1" ht="11.25">
      <c r="A94" s="164" t="s">
        <v>2270</v>
      </c>
      <c r="B94" s="164" t="s">
        <v>16</v>
      </c>
      <c r="C94" s="164" t="s">
        <v>2613</v>
      </c>
      <c r="D94" s="164" t="s">
        <v>2614</v>
      </c>
      <c r="E94" s="164" t="s">
        <v>2615</v>
      </c>
      <c r="F94" s="164" t="s">
        <v>2349</v>
      </c>
      <c r="G94" s="164" t="s">
        <v>2616</v>
      </c>
      <c r="H94" s="0" t="s">
        <v>22</v>
      </c>
      <c r="I94" s="164" t="s">
        <v>830</v>
      </c>
    </row>
    <row customHeight="1" ht="11.25">
      <c r="A95" s="164" t="s">
        <v>2270</v>
      </c>
      <c r="B95" s="164" t="s">
        <v>16</v>
      </c>
      <c r="C95" s="164" t="s">
        <v>2617</v>
      </c>
      <c r="D95" s="164" t="s">
        <v>2618</v>
      </c>
      <c r="E95" s="164" t="s">
        <v>2619</v>
      </c>
      <c r="F95" s="164" t="s">
        <v>2620</v>
      </c>
      <c r="G95" s="0" t="s">
        <v>22</v>
      </c>
      <c r="H95" s="0" t="s">
        <v>22</v>
      </c>
      <c r="I95" s="164" t="s">
        <v>830</v>
      </c>
    </row>
    <row customHeight="1" ht="11.25">
      <c r="A96" s="164" t="s">
        <v>2270</v>
      </c>
      <c r="B96" s="164" t="s">
        <v>16</v>
      </c>
      <c r="C96" s="164" t="s">
        <v>2621</v>
      </c>
      <c r="D96" s="164" t="s">
        <v>2622</v>
      </c>
      <c r="E96" s="164" t="s">
        <v>2623</v>
      </c>
      <c r="F96" s="164" t="s">
        <v>2353</v>
      </c>
      <c r="G96" s="164" t="s">
        <v>2624</v>
      </c>
      <c r="H96" s="0" t="s">
        <v>22</v>
      </c>
      <c r="I96" s="164" t="s">
        <v>830</v>
      </c>
    </row>
    <row customHeight="1" ht="11.25">
      <c r="A97" s="164" t="s">
        <v>2270</v>
      </c>
      <c r="B97" s="164" t="s">
        <v>16</v>
      </c>
      <c r="C97" s="164" t="s">
        <v>2625</v>
      </c>
      <c r="D97" s="164" t="s">
        <v>2626</v>
      </c>
      <c r="E97" s="164" t="s">
        <v>2627</v>
      </c>
      <c r="F97" s="164" t="s">
        <v>2437</v>
      </c>
      <c r="G97" s="0" t="s">
        <v>22</v>
      </c>
      <c r="H97" s="0" t="s">
        <v>22</v>
      </c>
      <c r="I97" s="164" t="s">
        <v>830</v>
      </c>
    </row>
    <row customHeight="1" ht="11.25">
      <c r="A98" s="164" t="s">
        <v>2270</v>
      </c>
      <c r="B98" s="164" t="s">
        <v>16</v>
      </c>
      <c r="C98" s="164" t="s">
        <v>2628</v>
      </c>
      <c r="D98" s="164" t="s">
        <v>2629</v>
      </c>
      <c r="E98" s="164" t="s">
        <v>2630</v>
      </c>
      <c r="F98" s="164" t="s">
        <v>2482</v>
      </c>
      <c r="G98" s="164" t="s">
        <v>2631</v>
      </c>
      <c r="H98" s="0" t="s">
        <v>22</v>
      </c>
      <c r="I98" s="164" t="s">
        <v>830</v>
      </c>
    </row>
    <row customHeight="1" ht="11.25">
      <c r="A99" s="164" t="s">
        <v>2270</v>
      </c>
      <c r="B99" s="164" t="s">
        <v>16</v>
      </c>
      <c r="C99" s="164" t="s">
        <v>2632</v>
      </c>
      <c r="D99" s="164" t="s">
        <v>2633</v>
      </c>
      <c r="E99" s="164" t="s">
        <v>2634</v>
      </c>
      <c r="F99" s="164" t="s">
        <v>50</v>
      </c>
      <c r="G99" s="0" t="s">
        <v>22</v>
      </c>
      <c r="H99" s="0" t="s">
        <v>22</v>
      </c>
      <c r="I99" s="164" t="s">
        <v>830</v>
      </c>
    </row>
    <row customHeight="1" ht="11.25">
      <c r="A100" s="164" t="s">
        <v>2270</v>
      </c>
      <c r="B100" s="164" t="s">
        <v>16</v>
      </c>
      <c r="C100" s="164" t="s">
        <v>2635</v>
      </c>
      <c r="D100" s="164" t="s">
        <v>2636</v>
      </c>
      <c r="E100" s="164" t="s">
        <v>2637</v>
      </c>
      <c r="F100" s="164" t="s">
        <v>2353</v>
      </c>
      <c r="G100" s="0" t="s">
        <v>22</v>
      </c>
      <c r="H100" s="0" t="s">
        <v>22</v>
      </c>
      <c r="I100" s="164" t="s">
        <v>830</v>
      </c>
    </row>
    <row customHeight="1" ht="11.25">
      <c r="A101" s="164" t="s">
        <v>2270</v>
      </c>
      <c r="B101" s="164" t="s">
        <v>16</v>
      </c>
      <c r="C101" s="164" t="s">
        <v>2638</v>
      </c>
      <c r="D101" s="164" t="s">
        <v>2639</v>
      </c>
      <c r="E101" s="164" t="s">
        <v>2640</v>
      </c>
      <c r="F101" s="164" t="s">
        <v>2641</v>
      </c>
      <c r="G101" s="0" t="s">
        <v>22</v>
      </c>
      <c r="H101" s="0" t="s">
        <v>22</v>
      </c>
      <c r="I101" s="164" t="s">
        <v>830</v>
      </c>
    </row>
    <row customHeight="1" ht="11.25">
      <c r="A102" s="164" t="s">
        <v>2270</v>
      </c>
      <c r="B102" s="164" t="s">
        <v>16</v>
      </c>
      <c r="C102" s="164" t="s">
        <v>2642</v>
      </c>
      <c r="D102" s="164" t="s">
        <v>2643</v>
      </c>
      <c r="E102" s="164" t="s">
        <v>2644</v>
      </c>
      <c r="F102" s="164" t="s">
        <v>2452</v>
      </c>
      <c r="G102" s="0" t="s">
        <v>22</v>
      </c>
      <c r="H102" s="0" t="s">
        <v>22</v>
      </c>
      <c r="I102" s="164" t="s">
        <v>830</v>
      </c>
    </row>
    <row customHeight="1" ht="11.25">
      <c r="A103" s="164" t="s">
        <v>2270</v>
      </c>
      <c r="B103" s="164" t="s">
        <v>16</v>
      </c>
      <c r="C103" s="164" t="s">
        <v>2645</v>
      </c>
      <c r="D103" s="164" t="s">
        <v>2646</v>
      </c>
      <c r="E103" s="164" t="s">
        <v>2647</v>
      </c>
      <c r="F103" s="164" t="s">
        <v>2349</v>
      </c>
      <c r="G103" s="0" t="s">
        <v>22</v>
      </c>
      <c r="H103" s="0" t="s">
        <v>22</v>
      </c>
      <c r="I103" s="164" t="s">
        <v>830</v>
      </c>
    </row>
    <row customHeight="1" ht="11.25">
      <c r="A104" s="164" t="s">
        <v>2270</v>
      </c>
      <c r="B104" s="164" t="s">
        <v>16</v>
      </c>
      <c r="C104" s="164" t="s">
        <v>2648</v>
      </c>
      <c r="D104" s="164" t="s">
        <v>2649</v>
      </c>
      <c r="E104" s="164" t="s">
        <v>2650</v>
      </c>
      <c r="F104" s="164" t="s">
        <v>50</v>
      </c>
      <c r="G104" s="164" t="s">
        <v>2651</v>
      </c>
      <c r="H104" s="0" t="s">
        <v>22</v>
      </c>
      <c r="I104" s="164" t="s">
        <v>830</v>
      </c>
    </row>
    <row customHeight="1" ht="11.25">
      <c r="A105" s="164" t="s">
        <v>2270</v>
      </c>
      <c r="B105" s="164" t="s">
        <v>16</v>
      </c>
      <c r="C105" s="164" t="s">
        <v>2652</v>
      </c>
      <c r="D105" s="164" t="s">
        <v>2653</v>
      </c>
      <c r="E105" s="164" t="s">
        <v>2654</v>
      </c>
      <c r="F105" s="164" t="s">
        <v>2357</v>
      </c>
      <c r="G105" s="0" t="s">
        <v>22</v>
      </c>
      <c r="H105" s="0" t="s">
        <v>22</v>
      </c>
      <c r="I105" s="164" t="s">
        <v>830</v>
      </c>
    </row>
    <row customHeight="1" ht="11.25">
      <c r="A106" s="164" t="s">
        <v>2270</v>
      </c>
      <c r="B106" s="164" t="s">
        <v>16</v>
      </c>
      <c r="C106" s="164" t="s">
        <v>2655</v>
      </c>
      <c r="D106" s="164" t="s">
        <v>2656</v>
      </c>
      <c r="E106" s="164" t="s">
        <v>2657</v>
      </c>
      <c r="F106" s="164" t="s">
        <v>2658</v>
      </c>
      <c r="G106" s="164" t="s">
        <v>2659</v>
      </c>
      <c r="H106" s="0" t="s">
        <v>22</v>
      </c>
      <c r="I106" s="164" t="s">
        <v>830</v>
      </c>
    </row>
    <row customHeight="1" ht="11.25">
      <c r="A107" s="164" t="s">
        <v>2270</v>
      </c>
      <c r="B107" s="164" t="s">
        <v>16</v>
      </c>
      <c r="C107" s="164" t="s">
        <v>2660</v>
      </c>
      <c r="D107" s="164" t="s">
        <v>2661</v>
      </c>
      <c r="E107" s="164" t="s">
        <v>2662</v>
      </c>
      <c r="F107" s="164" t="s">
        <v>2274</v>
      </c>
      <c r="G107" s="164" t="s">
        <v>2663</v>
      </c>
      <c r="H107" s="0" t="s">
        <v>22</v>
      </c>
      <c r="I107" s="164" t="s">
        <v>830</v>
      </c>
    </row>
    <row customHeight="1" ht="11.25">
      <c r="A108" s="164" t="s">
        <v>2270</v>
      </c>
      <c r="B108" s="164" t="s">
        <v>16</v>
      </c>
      <c r="C108" s="164" t="s">
        <v>2664</v>
      </c>
      <c r="D108" s="164" t="s">
        <v>2665</v>
      </c>
      <c r="E108" s="164" t="s">
        <v>2666</v>
      </c>
      <c r="F108" s="164" t="s">
        <v>2349</v>
      </c>
      <c r="G108" s="0" t="s">
        <v>22</v>
      </c>
      <c r="H108" s="0" t="s">
        <v>22</v>
      </c>
      <c r="I108" s="164" t="s">
        <v>830</v>
      </c>
    </row>
    <row customHeight="1" ht="11.25">
      <c r="A109" s="164" t="s">
        <v>2270</v>
      </c>
      <c r="B109" s="164" t="s">
        <v>16</v>
      </c>
      <c r="C109" s="164" t="s">
        <v>2667</v>
      </c>
      <c r="D109" s="164" t="s">
        <v>2668</v>
      </c>
      <c r="E109" s="164" t="s">
        <v>2669</v>
      </c>
      <c r="F109" s="164" t="s">
        <v>2482</v>
      </c>
      <c r="G109" s="0" t="s">
        <v>22</v>
      </c>
      <c r="H109" s="0" t="s">
        <v>22</v>
      </c>
      <c r="I109" s="164" t="s">
        <v>830</v>
      </c>
    </row>
    <row customHeight="1" ht="11.25">
      <c r="A110" s="164" t="s">
        <v>2270</v>
      </c>
      <c r="B110" s="164" t="s">
        <v>16</v>
      </c>
      <c r="C110" s="164" t="s">
        <v>2670</v>
      </c>
      <c r="D110" s="164" t="s">
        <v>2671</v>
      </c>
      <c r="E110" s="164" t="s">
        <v>2672</v>
      </c>
      <c r="F110" s="164" t="s">
        <v>2349</v>
      </c>
      <c r="G110" s="164" t="s">
        <v>2673</v>
      </c>
      <c r="H110" s="0" t="s">
        <v>22</v>
      </c>
      <c r="I110" s="164" t="s">
        <v>830</v>
      </c>
    </row>
    <row customHeight="1" ht="11.25">
      <c r="A111" s="164" t="s">
        <v>2270</v>
      </c>
      <c r="B111" s="164" t="s">
        <v>16</v>
      </c>
      <c r="C111" s="164" t="s">
        <v>13</v>
      </c>
      <c r="D111" s="164" t="s">
        <v>45</v>
      </c>
      <c r="E111" s="164" t="s">
        <v>48</v>
      </c>
      <c r="F111" s="164" t="s">
        <v>50</v>
      </c>
      <c r="G111" s="164" t="s">
        <v>2674</v>
      </c>
      <c r="H111" s="0" t="s">
        <v>22</v>
      </c>
      <c r="I111" s="164" t="s">
        <v>830</v>
      </c>
    </row>
    <row customHeight="1" ht="11.25">
      <c r="A112" s="164" t="s">
        <v>2270</v>
      </c>
      <c r="B112" s="164" t="s">
        <v>16</v>
      </c>
      <c r="C112" s="164" t="s">
        <v>2675</v>
      </c>
      <c r="D112" s="164" t="s">
        <v>2676</v>
      </c>
      <c r="E112" s="164" t="s">
        <v>2677</v>
      </c>
      <c r="F112" s="164" t="s">
        <v>2441</v>
      </c>
      <c r="G112" s="0" t="s">
        <v>22</v>
      </c>
      <c r="H112" s="0" t="s">
        <v>22</v>
      </c>
      <c r="I112" s="164" t="s">
        <v>830</v>
      </c>
    </row>
    <row customHeight="1" ht="11.25">
      <c r="A113" s="164" t="s">
        <v>2270</v>
      </c>
      <c r="B113" s="164" t="s">
        <v>16</v>
      </c>
      <c r="C113" s="164" t="s">
        <v>2678</v>
      </c>
      <c r="D113" s="164" t="s">
        <v>2679</v>
      </c>
      <c r="E113" s="164" t="s">
        <v>2680</v>
      </c>
      <c r="F113" s="164" t="s">
        <v>2353</v>
      </c>
      <c r="G113" s="164" t="s">
        <v>2681</v>
      </c>
      <c r="H113" s="0" t="s">
        <v>22</v>
      </c>
      <c r="I113" s="164" t="s">
        <v>830</v>
      </c>
    </row>
    <row customHeight="1" ht="11.25">
      <c r="A114" s="164" t="s">
        <v>2270</v>
      </c>
      <c r="B114" s="164" t="s">
        <v>16</v>
      </c>
      <c r="C114" s="164" t="s">
        <v>2682</v>
      </c>
      <c r="D114" s="164" t="s">
        <v>2683</v>
      </c>
      <c r="E114" s="164" t="s">
        <v>2684</v>
      </c>
      <c r="F114" s="164" t="s">
        <v>2274</v>
      </c>
      <c r="G114" s="0" t="s">
        <v>22</v>
      </c>
      <c r="H114" s="0" t="s">
        <v>22</v>
      </c>
      <c r="I114" s="164" t="s">
        <v>830</v>
      </c>
    </row>
    <row customHeight="1" ht="11.25">
      <c r="A115" s="164" t="s">
        <v>2270</v>
      </c>
      <c r="B115" s="164" t="s">
        <v>16</v>
      </c>
      <c r="C115" s="164" t="s">
        <v>2685</v>
      </c>
      <c r="D115" s="164" t="s">
        <v>2686</v>
      </c>
      <c r="E115" s="164" t="s">
        <v>2687</v>
      </c>
      <c r="F115" s="164" t="s">
        <v>2467</v>
      </c>
      <c r="G115" s="0" t="s">
        <v>22</v>
      </c>
      <c r="H115" s="0" t="s">
        <v>22</v>
      </c>
      <c r="I115" s="164" t="s">
        <v>830</v>
      </c>
    </row>
    <row customHeight="1" ht="11.25">
      <c r="A116" s="164" t="s">
        <v>2270</v>
      </c>
      <c r="B116" s="164" t="s">
        <v>16</v>
      </c>
      <c r="C116" s="164" t="s">
        <v>2688</v>
      </c>
      <c r="D116" s="164" t="s">
        <v>2686</v>
      </c>
      <c r="E116" s="164" t="s">
        <v>2689</v>
      </c>
      <c r="F116" s="164" t="s">
        <v>2482</v>
      </c>
      <c r="G116" s="0" t="s">
        <v>22</v>
      </c>
      <c r="H116" s="0" t="s">
        <v>22</v>
      </c>
      <c r="I116" s="164" t="s">
        <v>830</v>
      </c>
    </row>
    <row customHeight="1" ht="11.25">
      <c r="A117" s="164" t="s">
        <v>2270</v>
      </c>
      <c r="B117" s="164" t="s">
        <v>16</v>
      </c>
      <c r="C117" s="164" t="s">
        <v>2690</v>
      </c>
      <c r="D117" s="164" t="s">
        <v>2691</v>
      </c>
      <c r="E117" s="164" t="s">
        <v>2692</v>
      </c>
      <c r="F117" s="164" t="s">
        <v>2353</v>
      </c>
      <c r="G117" s="0" t="s">
        <v>22</v>
      </c>
      <c r="H117" s="0" t="s">
        <v>22</v>
      </c>
      <c r="I117" s="164" t="s">
        <v>830</v>
      </c>
    </row>
    <row customHeight="1" ht="11.25">
      <c r="A118" s="164" t="s">
        <v>2270</v>
      </c>
      <c r="B118" s="164" t="s">
        <v>16</v>
      </c>
      <c r="C118" s="164" t="s">
        <v>2693</v>
      </c>
      <c r="D118" s="164" t="s">
        <v>2694</v>
      </c>
      <c r="E118" s="164" t="s">
        <v>2695</v>
      </c>
      <c r="F118" s="164" t="s">
        <v>2345</v>
      </c>
      <c r="G118" s="0" t="s">
        <v>22</v>
      </c>
      <c r="H118" s="0" t="s">
        <v>22</v>
      </c>
      <c r="I118" s="164" t="s">
        <v>830</v>
      </c>
    </row>
    <row customHeight="1" ht="11.25">
      <c r="A119" s="164" t="s">
        <v>2270</v>
      </c>
      <c r="B119" s="164" t="s">
        <v>16</v>
      </c>
      <c r="C119" s="164" t="s">
        <v>2696</v>
      </c>
      <c r="D119" s="164" t="s">
        <v>2697</v>
      </c>
      <c r="E119" s="164" t="s">
        <v>2698</v>
      </c>
      <c r="F119" s="164" t="s">
        <v>2392</v>
      </c>
      <c r="G119" s="0" t="s">
        <v>22</v>
      </c>
      <c r="H119" s="0" t="s">
        <v>22</v>
      </c>
      <c r="I119" s="164" t="s">
        <v>830</v>
      </c>
    </row>
    <row customHeight="1" ht="11.25">
      <c r="A120" s="164" t="s">
        <v>2270</v>
      </c>
      <c r="B120" s="164" t="s">
        <v>16</v>
      </c>
      <c r="C120" s="164" t="s">
        <v>2699</v>
      </c>
      <c r="D120" s="164" t="s">
        <v>2700</v>
      </c>
      <c r="E120" s="164" t="s">
        <v>2701</v>
      </c>
      <c r="F120" s="164" t="s">
        <v>2353</v>
      </c>
      <c r="G120" s="0" t="s">
        <v>22</v>
      </c>
      <c r="H120" s="0" t="s">
        <v>22</v>
      </c>
      <c r="I120" s="164" t="s">
        <v>830</v>
      </c>
    </row>
    <row customHeight="1" ht="11.25">
      <c r="A121" s="164" t="s">
        <v>2270</v>
      </c>
      <c r="B121" s="164" t="s">
        <v>16</v>
      </c>
      <c r="C121" s="164" t="s">
        <v>2702</v>
      </c>
      <c r="D121" s="164" t="s">
        <v>2703</v>
      </c>
      <c r="E121" s="164" t="s">
        <v>2704</v>
      </c>
      <c r="F121" s="164" t="s">
        <v>2441</v>
      </c>
      <c r="G121" s="0" t="s">
        <v>22</v>
      </c>
      <c r="H121" s="0" t="s">
        <v>22</v>
      </c>
      <c r="I121" s="164" t="s">
        <v>830</v>
      </c>
    </row>
    <row customHeight="1" ht="11.25">
      <c r="A122" s="164" t="s">
        <v>2270</v>
      </c>
      <c r="B122" s="164" t="s">
        <v>16</v>
      </c>
      <c r="C122" s="164" t="s">
        <v>2705</v>
      </c>
      <c r="D122" s="164" t="s">
        <v>2706</v>
      </c>
      <c r="E122" s="164" t="s">
        <v>2707</v>
      </c>
      <c r="F122" s="164" t="s">
        <v>2349</v>
      </c>
      <c r="G122" s="0" t="s">
        <v>22</v>
      </c>
      <c r="H122" s="0" t="s">
        <v>22</v>
      </c>
      <c r="I122" s="164" t="s">
        <v>830</v>
      </c>
    </row>
    <row customHeight="1" ht="11.25">
      <c r="A123" s="164" t="s">
        <v>2270</v>
      </c>
      <c r="B123" s="164" t="s">
        <v>16</v>
      </c>
      <c r="C123" s="164" t="s">
        <v>2708</v>
      </c>
      <c r="D123" s="164" t="s">
        <v>2709</v>
      </c>
      <c r="E123" s="164" t="s">
        <v>2710</v>
      </c>
      <c r="F123" s="164" t="s">
        <v>2353</v>
      </c>
      <c r="G123" s="0" t="s">
        <v>22</v>
      </c>
      <c r="H123" s="0" t="s">
        <v>22</v>
      </c>
      <c r="I123" s="164" t="s">
        <v>830</v>
      </c>
    </row>
    <row customHeight="1" ht="11.25">
      <c r="A124" s="164" t="s">
        <v>2270</v>
      </c>
      <c r="B124" s="164" t="s">
        <v>16</v>
      </c>
      <c r="C124" s="164" t="s">
        <v>2711</v>
      </c>
      <c r="D124" s="164" t="s">
        <v>2712</v>
      </c>
      <c r="E124" s="164" t="s">
        <v>2713</v>
      </c>
      <c r="F124" s="164" t="s">
        <v>2452</v>
      </c>
      <c r="G124" s="0" t="s">
        <v>22</v>
      </c>
      <c r="H124" s="0" t="s">
        <v>22</v>
      </c>
      <c r="I124" s="164" t="s">
        <v>830</v>
      </c>
    </row>
    <row customHeight="1" ht="11.25">
      <c r="A125" s="164" t="s">
        <v>2270</v>
      </c>
      <c r="B125" s="164" t="s">
        <v>16</v>
      </c>
      <c r="C125" s="164" t="s">
        <v>2714</v>
      </c>
      <c r="D125" s="164" t="s">
        <v>2715</v>
      </c>
      <c r="E125" s="164" t="s">
        <v>2716</v>
      </c>
      <c r="F125" s="164" t="s">
        <v>2392</v>
      </c>
      <c r="G125" s="0" t="s">
        <v>22</v>
      </c>
      <c r="H125" s="0" t="s">
        <v>22</v>
      </c>
      <c r="I125" s="164" t="s">
        <v>830</v>
      </c>
    </row>
    <row customHeight="1" ht="11.25">
      <c r="A126" s="164" t="s">
        <v>2270</v>
      </c>
      <c r="B126" s="164" t="s">
        <v>16</v>
      </c>
      <c r="C126" s="164" t="s">
        <v>2717</v>
      </c>
      <c r="D126" s="164" t="s">
        <v>2718</v>
      </c>
      <c r="E126" s="164" t="s">
        <v>2719</v>
      </c>
      <c r="F126" s="164" t="s">
        <v>2286</v>
      </c>
      <c r="G126" s="0" t="s">
        <v>22</v>
      </c>
      <c r="H126" s="0" t="s">
        <v>22</v>
      </c>
      <c r="I126" s="164" t="s">
        <v>830</v>
      </c>
    </row>
    <row customHeight="1" ht="11.25">
      <c r="A127" s="164" t="s">
        <v>2270</v>
      </c>
      <c r="B127" s="164" t="s">
        <v>16</v>
      </c>
      <c r="C127" s="164" t="s">
        <v>2720</v>
      </c>
      <c r="D127" s="164" t="s">
        <v>2721</v>
      </c>
      <c r="E127" s="164" t="s">
        <v>2722</v>
      </c>
      <c r="F127" s="164" t="s">
        <v>2388</v>
      </c>
      <c r="G127" s="0" t="s">
        <v>22</v>
      </c>
      <c r="H127" s="0" t="s">
        <v>22</v>
      </c>
      <c r="I127" s="164" t="s">
        <v>830</v>
      </c>
    </row>
    <row customHeight="1" ht="11.25">
      <c r="A128" s="164" t="s">
        <v>2270</v>
      </c>
      <c r="B128" s="164" t="s">
        <v>16</v>
      </c>
      <c r="C128" s="164" t="s">
        <v>2723</v>
      </c>
      <c r="D128" s="164" t="s">
        <v>2724</v>
      </c>
      <c r="E128" s="164" t="s">
        <v>2725</v>
      </c>
      <c r="F128" s="164" t="s">
        <v>2349</v>
      </c>
      <c r="G128" s="0" t="s">
        <v>22</v>
      </c>
      <c r="H128" s="0" t="s">
        <v>22</v>
      </c>
      <c r="I128" s="164" t="s">
        <v>830</v>
      </c>
    </row>
    <row customHeight="1" ht="11.25">
      <c r="A129" s="164" t="s">
        <v>2270</v>
      </c>
      <c r="B129" s="164" t="s">
        <v>16</v>
      </c>
      <c r="C129" s="164" t="s">
        <v>2726</v>
      </c>
      <c r="D129" s="164" t="s">
        <v>2727</v>
      </c>
      <c r="E129" s="164" t="s">
        <v>2728</v>
      </c>
      <c r="F129" s="164" t="s">
        <v>2349</v>
      </c>
      <c r="G129" s="0" t="s">
        <v>22</v>
      </c>
      <c r="H129" s="0" t="s">
        <v>22</v>
      </c>
      <c r="I129" s="164" t="s">
        <v>830</v>
      </c>
    </row>
    <row customHeight="1" ht="11.25">
      <c r="A130" s="164" t="s">
        <v>2270</v>
      </c>
      <c r="B130" s="164" t="s">
        <v>16</v>
      </c>
      <c r="C130" s="164" t="s">
        <v>2729</v>
      </c>
      <c r="D130" s="164" t="s">
        <v>2730</v>
      </c>
      <c r="E130" s="164" t="s">
        <v>2731</v>
      </c>
      <c r="F130" s="164" t="s">
        <v>2566</v>
      </c>
      <c r="G130" s="164" t="s">
        <v>2732</v>
      </c>
      <c r="H130" s="0" t="s">
        <v>22</v>
      </c>
      <c r="I130" s="164" t="s">
        <v>830</v>
      </c>
    </row>
    <row customHeight="1" ht="11.25">
      <c r="A131" s="164" t="s">
        <v>2270</v>
      </c>
      <c r="B131" s="164" t="s">
        <v>16</v>
      </c>
      <c r="C131" s="164" t="s">
        <v>2733</v>
      </c>
      <c r="D131" s="164" t="s">
        <v>2734</v>
      </c>
      <c r="E131" s="164" t="s">
        <v>2735</v>
      </c>
      <c r="F131" s="164" t="s">
        <v>2349</v>
      </c>
      <c r="G131" s="0" t="s">
        <v>22</v>
      </c>
      <c r="H131" s="0" t="s">
        <v>22</v>
      </c>
      <c r="I131" s="164" t="s">
        <v>830</v>
      </c>
    </row>
    <row customHeight="1" ht="11.25">
      <c r="A132" s="164" t="s">
        <v>2270</v>
      </c>
      <c r="B132" s="164" t="s">
        <v>16</v>
      </c>
      <c r="C132" s="164" t="s">
        <v>2736</v>
      </c>
      <c r="D132" s="164" t="s">
        <v>2737</v>
      </c>
      <c r="E132" s="164" t="s">
        <v>2738</v>
      </c>
      <c r="F132" s="164" t="s">
        <v>2392</v>
      </c>
      <c r="G132" s="0" t="s">
        <v>22</v>
      </c>
      <c r="H132" s="0" t="s">
        <v>22</v>
      </c>
      <c r="I132" s="164" t="s">
        <v>830</v>
      </c>
    </row>
    <row customHeight="1" ht="11.25">
      <c r="A133" s="164" t="s">
        <v>2270</v>
      </c>
      <c r="B133" s="164" t="s">
        <v>16</v>
      </c>
      <c r="C133" s="164" t="s">
        <v>2739</v>
      </c>
      <c r="D133" s="164" t="s">
        <v>2740</v>
      </c>
      <c r="E133" s="164" t="s">
        <v>2741</v>
      </c>
      <c r="F133" s="164" t="s">
        <v>2486</v>
      </c>
      <c r="G133" s="0" t="s">
        <v>22</v>
      </c>
      <c r="H133" s="0" t="s">
        <v>22</v>
      </c>
      <c r="I133" s="164" t="s">
        <v>830</v>
      </c>
    </row>
    <row customHeight="1" ht="11.25">
      <c r="A134" s="164" t="s">
        <v>2270</v>
      </c>
      <c r="B134" s="164" t="s">
        <v>16</v>
      </c>
      <c r="C134" s="164" t="s">
        <v>2742</v>
      </c>
      <c r="D134" s="164" t="s">
        <v>2743</v>
      </c>
      <c r="E134" s="164" t="s">
        <v>2744</v>
      </c>
      <c r="F134" s="164" t="s">
        <v>2274</v>
      </c>
      <c r="G134" s="0" t="s">
        <v>22</v>
      </c>
      <c r="H134" s="0" t="s">
        <v>22</v>
      </c>
      <c r="I134" s="164" t="s">
        <v>830</v>
      </c>
    </row>
    <row customHeight="1" ht="11.25">
      <c r="A135" s="164" t="s">
        <v>2270</v>
      </c>
      <c r="B135" s="164" t="s">
        <v>16</v>
      </c>
      <c r="C135" s="164" t="s">
        <v>2745</v>
      </c>
      <c r="D135" s="164" t="s">
        <v>2746</v>
      </c>
      <c r="E135" s="164" t="s">
        <v>2747</v>
      </c>
      <c r="F135" s="164" t="s">
        <v>2349</v>
      </c>
      <c r="G135" s="0" t="s">
        <v>22</v>
      </c>
      <c r="H135" s="0" t="s">
        <v>22</v>
      </c>
      <c r="I135" s="164" t="s">
        <v>830</v>
      </c>
    </row>
    <row customHeight="1" ht="11.25">
      <c r="A136" s="164" t="s">
        <v>2270</v>
      </c>
      <c r="B136" s="164" t="s">
        <v>16</v>
      </c>
      <c r="C136" s="164" t="s">
        <v>2748</v>
      </c>
      <c r="D136" s="164" t="s">
        <v>2749</v>
      </c>
      <c r="E136" s="164" t="s">
        <v>2586</v>
      </c>
      <c r="F136" s="164" t="s">
        <v>2750</v>
      </c>
      <c r="G136" s="0" t="s">
        <v>22</v>
      </c>
      <c r="H136" s="0" t="s">
        <v>22</v>
      </c>
      <c r="I136" s="164" t="s">
        <v>830</v>
      </c>
    </row>
    <row customHeight="1" ht="11.25">
      <c r="A137" s="164" t="s">
        <v>2270</v>
      </c>
      <c r="B137" s="164" t="s">
        <v>16</v>
      </c>
      <c r="C137" s="164" t="s">
        <v>2751</v>
      </c>
      <c r="D137" s="164" t="s">
        <v>2752</v>
      </c>
      <c r="E137" s="164" t="s">
        <v>2340</v>
      </c>
      <c r="F137" s="164" t="s">
        <v>2753</v>
      </c>
      <c r="G137" s="0" t="s">
        <v>22</v>
      </c>
      <c r="H137" s="0" t="s">
        <v>22</v>
      </c>
      <c r="I137" s="164" t="s">
        <v>830</v>
      </c>
    </row>
    <row customHeight="1" ht="11.25">
      <c r="A138" s="164" t="s">
        <v>2270</v>
      </c>
      <c r="B138" s="164" t="s">
        <v>16</v>
      </c>
      <c r="C138" s="164" t="s">
        <v>2754</v>
      </c>
      <c r="D138" s="164" t="s">
        <v>2755</v>
      </c>
      <c r="E138" s="164" t="s">
        <v>2756</v>
      </c>
      <c r="F138" s="164" t="s">
        <v>2757</v>
      </c>
      <c r="G138" s="0" t="s">
        <v>22</v>
      </c>
      <c r="H138" s="0" t="s">
        <v>22</v>
      </c>
      <c r="I138" s="164" t="s">
        <v>830</v>
      </c>
    </row>
    <row customHeight="1" ht="11.25">
      <c r="A139" s="164" t="s">
        <v>2270</v>
      </c>
      <c r="B139" s="164" t="s">
        <v>16</v>
      </c>
      <c r="C139" s="164" t="s">
        <v>2758</v>
      </c>
      <c r="D139" s="164" t="s">
        <v>2759</v>
      </c>
      <c r="E139" s="164" t="s">
        <v>2760</v>
      </c>
      <c r="F139" s="164" t="s">
        <v>2357</v>
      </c>
      <c r="G139" s="0" t="s">
        <v>22</v>
      </c>
      <c r="H139" s="0" t="s">
        <v>22</v>
      </c>
      <c r="I139" s="164" t="s">
        <v>830</v>
      </c>
    </row>
    <row customHeight="1" ht="11.25">
      <c r="A140" s="164" t="s">
        <v>2270</v>
      </c>
      <c r="B140" s="164" t="s">
        <v>16</v>
      </c>
      <c r="C140" s="164" t="s">
        <v>2761</v>
      </c>
      <c r="D140" s="164" t="s">
        <v>2762</v>
      </c>
      <c r="E140" s="164" t="s">
        <v>2763</v>
      </c>
      <c r="F140" s="164" t="s">
        <v>2437</v>
      </c>
      <c r="G140" s="0" t="s">
        <v>22</v>
      </c>
      <c r="H140" s="0" t="s">
        <v>22</v>
      </c>
      <c r="I140" s="164" t="s">
        <v>830</v>
      </c>
    </row>
    <row customHeight="1" ht="11.25">
      <c r="A141" s="164" t="s">
        <v>2270</v>
      </c>
      <c r="B141" s="164" t="s">
        <v>16</v>
      </c>
      <c r="C141" s="164" t="s">
        <v>2764</v>
      </c>
      <c r="D141" s="164" t="s">
        <v>2765</v>
      </c>
      <c r="E141" s="164" t="s">
        <v>2766</v>
      </c>
      <c r="F141" s="164" t="s">
        <v>2353</v>
      </c>
      <c r="G141" s="0" t="s">
        <v>22</v>
      </c>
      <c r="H141" s="0" t="s">
        <v>22</v>
      </c>
      <c r="I141" s="164" t="s">
        <v>830</v>
      </c>
    </row>
    <row customHeight="1" ht="11.25">
      <c r="A142" s="164" t="s">
        <v>2270</v>
      </c>
      <c r="B142" s="164" t="s">
        <v>16</v>
      </c>
      <c r="C142" s="164" t="s">
        <v>2767</v>
      </c>
      <c r="D142" s="164" t="s">
        <v>2768</v>
      </c>
      <c r="E142" s="164" t="s">
        <v>2769</v>
      </c>
      <c r="F142" s="164" t="s">
        <v>2274</v>
      </c>
      <c r="G142" s="0" t="s">
        <v>22</v>
      </c>
      <c r="H142" s="0" t="s">
        <v>22</v>
      </c>
      <c r="I142" s="164" t="s">
        <v>830</v>
      </c>
    </row>
    <row customHeight="1" ht="11.25">
      <c r="A143" s="164" t="s">
        <v>2270</v>
      </c>
      <c r="B143" s="164" t="s">
        <v>16</v>
      </c>
      <c r="C143" s="164" t="s">
        <v>2770</v>
      </c>
      <c r="D143" s="164" t="s">
        <v>2771</v>
      </c>
      <c r="E143" s="164" t="s">
        <v>2772</v>
      </c>
      <c r="F143" s="164" t="s">
        <v>2353</v>
      </c>
      <c r="G143" s="0" t="s">
        <v>22</v>
      </c>
      <c r="H143" s="0" t="s">
        <v>22</v>
      </c>
      <c r="I143" s="164" t="s">
        <v>830</v>
      </c>
    </row>
    <row customHeight="1" ht="11.25">
      <c r="A144" s="164" t="s">
        <v>2270</v>
      </c>
      <c r="B144" s="164" t="s">
        <v>16</v>
      </c>
      <c r="C144" s="164" t="s">
        <v>2773</v>
      </c>
      <c r="D144" s="164" t="s">
        <v>2774</v>
      </c>
      <c r="E144" s="164" t="s">
        <v>2775</v>
      </c>
      <c r="F144" s="164" t="s">
        <v>2274</v>
      </c>
      <c r="G144" s="0" t="s">
        <v>22</v>
      </c>
      <c r="H144" s="0" t="s">
        <v>22</v>
      </c>
      <c r="I144" s="164" t="s">
        <v>830</v>
      </c>
    </row>
    <row customHeight="1" ht="11.25">
      <c r="A145" s="164" t="s">
        <v>2270</v>
      </c>
      <c r="B145" s="164" t="s">
        <v>16</v>
      </c>
      <c r="C145" s="164" t="s">
        <v>2776</v>
      </c>
      <c r="D145" s="164" t="s">
        <v>2777</v>
      </c>
      <c r="E145" s="164" t="s">
        <v>2778</v>
      </c>
      <c r="F145" s="164" t="s">
        <v>2779</v>
      </c>
      <c r="G145" s="0" t="s">
        <v>22</v>
      </c>
      <c r="H145" s="0" t="s">
        <v>22</v>
      </c>
      <c r="I145" s="164" t="s">
        <v>830</v>
      </c>
    </row>
    <row customHeight="1" ht="11.25">
      <c r="A146" s="164" t="s">
        <v>2270</v>
      </c>
      <c r="B146" s="164" t="s">
        <v>16</v>
      </c>
      <c r="C146" s="164" t="s">
        <v>2780</v>
      </c>
      <c r="D146" s="164" t="s">
        <v>2781</v>
      </c>
      <c r="E146" s="164" t="s">
        <v>2782</v>
      </c>
      <c r="F146" s="164" t="s">
        <v>2753</v>
      </c>
      <c r="G146" s="164" t="s">
        <v>2783</v>
      </c>
      <c r="H146" s="0" t="s">
        <v>22</v>
      </c>
      <c r="I146" s="164" t="s">
        <v>830</v>
      </c>
    </row>
    <row customHeight="1" ht="11.25">
      <c r="A147" s="164" t="s">
        <v>2270</v>
      </c>
      <c r="B147" s="164" t="s">
        <v>16</v>
      </c>
      <c r="C147" s="164" t="s">
        <v>2784</v>
      </c>
      <c r="D147" s="164" t="s">
        <v>2785</v>
      </c>
      <c r="E147" s="164" t="s">
        <v>2786</v>
      </c>
      <c r="F147" s="164" t="s">
        <v>2337</v>
      </c>
      <c r="G147" s="0" t="s">
        <v>22</v>
      </c>
      <c r="H147" s="0" t="s">
        <v>22</v>
      </c>
      <c r="I147" s="164" t="s">
        <v>830</v>
      </c>
    </row>
    <row customHeight="1" ht="11.25">
      <c r="A148" s="164" t="s">
        <v>2270</v>
      </c>
      <c r="B148" s="164" t="s">
        <v>16</v>
      </c>
      <c r="C148" s="164" t="s">
        <v>2787</v>
      </c>
      <c r="D148" s="164" t="s">
        <v>2788</v>
      </c>
      <c r="E148" s="164" t="s">
        <v>2551</v>
      </c>
      <c r="F148" s="164" t="s">
        <v>2789</v>
      </c>
      <c r="G148" s="0" t="s">
        <v>22</v>
      </c>
      <c r="H148" s="0" t="s">
        <v>22</v>
      </c>
      <c r="I148" s="164" t="s">
        <v>830</v>
      </c>
    </row>
    <row customHeight="1" ht="11.25">
      <c r="A149" s="164" t="s">
        <v>2270</v>
      </c>
      <c r="B149" s="164" t="s">
        <v>16</v>
      </c>
      <c r="C149" s="164" t="s">
        <v>2790</v>
      </c>
      <c r="D149" s="164" t="s">
        <v>2791</v>
      </c>
      <c r="E149" s="164" t="s">
        <v>2551</v>
      </c>
      <c r="F149" s="164" t="s">
        <v>2792</v>
      </c>
      <c r="G149" s="0" t="s">
        <v>22</v>
      </c>
      <c r="H149" s="0" t="s">
        <v>22</v>
      </c>
      <c r="I149" s="164" t="s">
        <v>830</v>
      </c>
    </row>
    <row customHeight="1" ht="11.25">
      <c r="A150" s="164" t="s">
        <v>2270</v>
      </c>
      <c r="B150" s="164" t="s">
        <v>16</v>
      </c>
      <c r="C150" s="164" t="s">
        <v>2793</v>
      </c>
      <c r="D150" s="164" t="s">
        <v>2794</v>
      </c>
      <c r="E150" s="164" t="s">
        <v>2551</v>
      </c>
      <c r="F150" s="164" t="s">
        <v>2795</v>
      </c>
      <c r="G150" s="0" t="s">
        <v>22</v>
      </c>
      <c r="H150" s="0" t="s">
        <v>22</v>
      </c>
      <c r="I150" s="164" t="s">
        <v>830</v>
      </c>
    </row>
    <row customHeight="1" ht="11.25">
      <c r="A151" s="164" t="s">
        <v>2270</v>
      </c>
      <c r="B151" s="164" t="s">
        <v>16</v>
      </c>
      <c r="C151" s="164" t="s">
        <v>2796</v>
      </c>
      <c r="D151" s="164" t="s">
        <v>2797</v>
      </c>
      <c r="E151" s="164" t="s">
        <v>2798</v>
      </c>
      <c r="F151" s="164" t="s">
        <v>2799</v>
      </c>
      <c r="G151" s="0" t="s">
        <v>22</v>
      </c>
      <c r="H151" s="0" t="s">
        <v>22</v>
      </c>
      <c r="I151" s="164" t="s">
        <v>830</v>
      </c>
    </row>
    <row customHeight="1" ht="11.25">
      <c r="A152" s="164" t="s">
        <v>2270</v>
      </c>
      <c r="B152" s="164" t="s">
        <v>16</v>
      </c>
      <c r="C152" s="164" t="s">
        <v>2800</v>
      </c>
      <c r="D152" s="164" t="s">
        <v>2801</v>
      </c>
      <c r="E152" s="164" t="s">
        <v>2802</v>
      </c>
      <c r="F152" s="164" t="s">
        <v>2357</v>
      </c>
      <c r="G152" s="0" t="s">
        <v>22</v>
      </c>
      <c r="H152" s="0" t="s">
        <v>22</v>
      </c>
      <c r="I152" s="164" t="s">
        <v>830</v>
      </c>
    </row>
    <row customHeight="1" ht="11.25">
      <c r="A153" s="164" t="s">
        <v>2270</v>
      </c>
      <c r="B153" s="164" t="s">
        <v>16</v>
      </c>
      <c r="C153" s="164" t="s">
        <v>2803</v>
      </c>
      <c r="D153" s="164" t="s">
        <v>2804</v>
      </c>
      <c r="E153" s="164" t="s">
        <v>2360</v>
      </c>
      <c r="F153" s="164" t="s">
        <v>2805</v>
      </c>
      <c r="G153" s="0" t="s">
        <v>22</v>
      </c>
      <c r="H153" s="0" t="s">
        <v>22</v>
      </c>
      <c r="I153" s="164" t="s">
        <v>830</v>
      </c>
    </row>
    <row customHeight="1" ht="11.25">
      <c r="A154" s="164" t="s">
        <v>2270</v>
      </c>
      <c r="B154" s="164" t="s">
        <v>16</v>
      </c>
      <c r="C154" s="164" t="s">
        <v>2279</v>
      </c>
      <c r="D154" s="164" t="s">
        <v>2280</v>
      </c>
      <c r="E154" s="164" t="s">
        <v>2281</v>
      </c>
      <c r="F154" s="164" t="s">
        <v>2282</v>
      </c>
      <c r="G154" s="0" t="s">
        <v>22</v>
      </c>
      <c r="H154" s="0" t="s">
        <v>22</v>
      </c>
      <c r="I154" s="164" t="s">
        <v>916</v>
      </c>
    </row>
    <row customHeight="1" ht="11.25">
      <c r="A155" s="164" t="s">
        <v>2270</v>
      </c>
      <c r="B155" s="164" t="s">
        <v>16</v>
      </c>
      <c r="C155" s="164" t="s">
        <v>2290</v>
      </c>
      <c r="D155" s="164" t="s">
        <v>2291</v>
      </c>
      <c r="E155" s="164" t="s">
        <v>2292</v>
      </c>
      <c r="F155" s="164" t="s">
        <v>2293</v>
      </c>
      <c r="G155" s="0" t="s">
        <v>22</v>
      </c>
      <c r="H155" s="0" t="s">
        <v>22</v>
      </c>
      <c r="I155" s="164" t="s">
        <v>916</v>
      </c>
    </row>
    <row customHeight="1" ht="11.25">
      <c r="A156" s="164" t="s">
        <v>2270</v>
      </c>
      <c r="B156" s="164" t="s">
        <v>16</v>
      </c>
      <c r="C156" s="164" t="s">
        <v>2300</v>
      </c>
      <c r="D156" s="164" t="s">
        <v>2301</v>
      </c>
      <c r="E156" s="164" t="s">
        <v>2302</v>
      </c>
      <c r="F156" s="164" t="s">
        <v>2303</v>
      </c>
      <c r="G156" s="0" t="s">
        <v>22</v>
      </c>
      <c r="H156" s="0" t="s">
        <v>22</v>
      </c>
      <c r="I156" s="164" t="s">
        <v>916</v>
      </c>
    </row>
    <row customHeight="1" ht="11.25">
      <c r="A157" s="164" t="s">
        <v>2270</v>
      </c>
      <c r="B157" s="164" t="s">
        <v>16</v>
      </c>
      <c r="C157" s="164" t="s">
        <v>2304</v>
      </c>
      <c r="D157" s="164" t="s">
        <v>2305</v>
      </c>
      <c r="E157" s="164" t="s">
        <v>2306</v>
      </c>
      <c r="F157" s="164" t="s">
        <v>2307</v>
      </c>
      <c r="G157" s="0" t="s">
        <v>22</v>
      </c>
      <c r="H157" s="0" t="s">
        <v>22</v>
      </c>
      <c r="I157" s="164" t="s">
        <v>916</v>
      </c>
    </row>
    <row customHeight="1" ht="11.25">
      <c r="A158" s="164" t="s">
        <v>2270</v>
      </c>
      <c r="B158" s="164" t="s">
        <v>16</v>
      </c>
      <c r="C158" s="164" t="s">
        <v>2308</v>
      </c>
      <c r="D158" s="164" t="s">
        <v>2309</v>
      </c>
      <c r="E158" s="164" t="s">
        <v>2310</v>
      </c>
      <c r="F158" s="164" t="s">
        <v>2311</v>
      </c>
      <c r="G158" s="0" t="s">
        <v>22</v>
      </c>
      <c r="H158" s="0" t="s">
        <v>22</v>
      </c>
      <c r="I158" s="164" t="s">
        <v>916</v>
      </c>
    </row>
    <row customHeight="1" ht="11.25">
      <c r="A159" s="164" t="s">
        <v>2270</v>
      </c>
      <c r="B159" s="164" t="s">
        <v>16</v>
      </c>
      <c r="C159" s="164" t="s">
        <v>2321</v>
      </c>
      <c r="D159" s="164" t="s">
        <v>2322</v>
      </c>
      <c r="E159" s="164" t="s">
        <v>2323</v>
      </c>
      <c r="F159" s="164" t="s">
        <v>2274</v>
      </c>
      <c r="G159" s="0" t="s">
        <v>22</v>
      </c>
      <c r="H159" s="164" t="s">
        <v>2324</v>
      </c>
      <c r="I159" s="164" t="s">
        <v>916</v>
      </c>
    </row>
    <row customHeight="1" ht="11.25">
      <c r="A160" s="164" t="s">
        <v>2270</v>
      </c>
      <c r="B160" s="164" t="s">
        <v>16</v>
      </c>
      <c r="C160" s="164" t="s">
        <v>2325</v>
      </c>
      <c r="D160" s="164" t="s">
        <v>2326</v>
      </c>
      <c r="E160" s="164" t="s">
        <v>2327</v>
      </c>
      <c r="F160" s="164" t="s">
        <v>2274</v>
      </c>
      <c r="G160" s="0" t="s">
        <v>22</v>
      </c>
      <c r="H160" s="0" t="s">
        <v>22</v>
      </c>
      <c r="I160" s="164" t="s">
        <v>916</v>
      </c>
    </row>
    <row customHeight="1" ht="11.25">
      <c r="A161" s="164" t="s">
        <v>2270</v>
      </c>
      <c r="B161" s="164" t="s">
        <v>16</v>
      </c>
      <c r="C161" s="164" t="s">
        <v>2328</v>
      </c>
      <c r="D161" s="164" t="s">
        <v>2329</v>
      </c>
      <c r="E161" s="164" t="s">
        <v>2306</v>
      </c>
      <c r="F161" s="164" t="s">
        <v>2330</v>
      </c>
      <c r="G161" s="0" t="s">
        <v>22</v>
      </c>
      <c r="H161" s="0" t="s">
        <v>22</v>
      </c>
      <c r="I161" s="164" t="s">
        <v>916</v>
      </c>
    </row>
    <row customHeight="1" ht="11.25">
      <c r="A162" s="164" t="s">
        <v>2270</v>
      </c>
      <c r="B162" s="164" t="s">
        <v>16</v>
      </c>
      <c r="C162" s="164" t="s">
        <v>2342</v>
      </c>
      <c r="D162" s="164" t="s">
        <v>2343</v>
      </c>
      <c r="E162" s="164" t="s">
        <v>2344</v>
      </c>
      <c r="F162" s="164" t="s">
        <v>2345</v>
      </c>
      <c r="G162" s="0" t="s">
        <v>22</v>
      </c>
      <c r="H162" s="0" t="s">
        <v>22</v>
      </c>
      <c r="I162" s="164" t="s">
        <v>916</v>
      </c>
    </row>
    <row customHeight="1" ht="11.25">
      <c r="A163" s="164" t="s">
        <v>2270</v>
      </c>
      <c r="B163" s="164" t="s">
        <v>16</v>
      </c>
      <c r="C163" s="164" t="s">
        <v>2346</v>
      </c>
      <c r="D163" s="164" t="s">
        <v>2347</v>
      </c>
      <c r="E163" s="164" t="s">
        <v>2348</v>
      </c>
      <c r="F163" s="164" t="s">
        <v>2349</v>
      </c>
      <c r="G163" s="0" t="s">
        <v>22</v>
      </c>
      <c r="H163" s="0" t="s">
        <v>22</v>
      </c>
      <c r="I163" s="164" t="s">
        <v>916</v>
      </c>
    </row>
    <row customHeight="1" ht="11.25">
      <c r="A164" s="164" t="s">
        <v>2270</v>
      </c>
      <c r="B164" s="164" t="s">
        <v>16</v>
      </c>
      <c r="C164" s="164" t="s">
        <v>2358</v>
      </c>
      <c r="D164" s="164" t="s">
        <v>2359</v>
      </c>
      <c r="E164" s="164" t="s">
        <v>2360</v>
      </c>
      <c r="F164" s="164" t="s">
        <v>2361</v>
      </c>
      <c r="G164" s="0" t="s">
        <v>22</v>
      </c>
      <c r="H164" s="0" t="s">
        <v>22</v>
      </c>
      <c r="I164" s="164" t="s">
        <v>916</v>
      </c>
    </row>
    <row customHeight="1" ht="11.25">
      <c r="A165" s="164" t="s">
        <v>2270</v>
      </c>
      <c r="B165" s="164" t="s">
        <v>16</v>
      </c>
      <c r="C165" s="5774" t="s">
        <v>22</v>
      </c>
      <c r="D165" s="164" t="s">
        <v>2375</v>
      </c>
      <c r="E165" s="164" t="s">
        <v>2376</v>
      </c>
      <c r="F165" s="164" t="s">
        <v>2353</v>
      </c>
      <c r="G165" s="0" t="s">
        <v>22</v>
      </c>
      <c r="H165" s="0" t="s">
        <v>22</v>
      </c>
      <c r="I165" s="164" t="s">
        <v>916</v>
      </c>
    </row>
    <row customHeight="1" ht="11.25">
      <c r="A166" s="164" t="s">
        <v>2270</v>
      </c>
      <c r="B166" s="164" t="s">
        <v>16</v>
      </c>
      <c r="C166" s="164" t="s">
        <v>2381</v>
      </c>
      <c r="D166" s="164" t="s">
        <v>2382</v>
      </c>
      <c r="E166" s="164" t="s">
        <v>2383</v>
      </c>
      <c r="F166" s="164" t="s">
        <v>2384</v>
      </c>
      <c r="G166" s="0" t="s">
        <v>22</v>
      </c>
      <c r="H166" s="0" t="s">
        <v>22</v>
      </c>
      <c r="I166" s="164" t="s">
        <v>916</v>
      </c>
    </row>
    <row customHeight="1" ht="11.25">
      <c r="A167" s="164" t="s">
        <v>2270</v>
      </c>
      <c r="B167" s="164" t="s">
        <v>16</v>
      </c>
      <c r="C167" s="164" t="s">
        <v>2389</v>
      </c>
      <c r="D167" s="164" t="s">
        <v>2390</v>
      </c>
      <c r="E167" s="164" t="s">
        <v>2391</v>
      </c>
      <c r="F167" s="164" t="s">
        <v>2392</v>
      </c>
      <c r="G167" s="164" t="s">
        <v>2393</v>
      </c>
      <c r="H167" s="0" t="s">
        <v>22</v>
      </c>
      <c r="I167" s="164" t="s">
        <v>916</v>
      </c>
    </row>
    <row customHeight="1" ht="11.25">
      <c r="A168" s="164" t="s">
        <v>2270</v>
      </c>
      <c r="B168" s="164" t="s">
        <v>16</v>
      </c>
      <c r="C168" s="164" t="s">
        <v>2394</v>
      </c>
      <c r="D168" s="164" t="s">
        <v>2395</v>
      </c>
      <c r="E168" s="164" t="s">
        <v>2396</v>
      </c>
      <c r="F168" s="164" t="s">
        <v>2311</v>
      </c>
      <c r="G168" s="164" t="s">
        <v>2397</v>
      </c>
      <c r="H168" s="0" t="s">
        <v>22</v>
      </c>
      <c r="I168" s="164" t="s">
        <v>916</v>
      </c>
    </row>
    <row customHeight="1" ht="11.25">
      <c r="A169" s="164" t="s">
        <v>2270</v>
      </c>
      <c r="B169" s="164" t="s">
        <v>16</v>
      </c>
      <c r="C169" s="164" t="s">
        <v>2410</v>
      </c>
      <c r="D169" s="164" t="s">
        <v>2411</v>
      </c>
      <c r="E169" s="164" t="s">
        <v>2412</v>
      </c>
      <c r="F169" s="164" t="s">
        <v>2311</v>
      </c>
      <c r="G169" s="0" t="s">
        <v>22</v>
      </c>
      <c r="H169" s="0" t="s">
        <v>22</v>
      </c>
      <c r="I169" s="164" t="s">
        <v>916</v>
      </c>
    </row>
    <row customHeight="1" ht="11.25">
      <c r="A170" s="164" t="s">
        <v>2270</v>
      </c>
      <c r="B170" s="164" t="s">
        <v>16</v>
      </c>
      <c r="C170" s="164" t="s">
        <v>2430</v>
      </c>
      <c r="D170" s="164" t="s">
        <v>2431</v>
      </c>
      <c r="E170" s="164" t="s">
        <v>2432</v>
      </c>
      <c r="F170" s="164" t="s">
        <v>2433</v>
      </c>
      <c r="G170" s="0" t="s">
        <v>22</v>
      </c>
      <c r="H170" s="0" t="s">
        <v>22</v>
      </c>
      <c r="I170" s="164" t="s">
        <v>916</v>
      </c>
    </row>
    <row customHeight="1" ht="11.25">
      <c r="A171" s="164" t="s">
        <v>2270</v>
      </c>
      <c r="B171" s="164" t="s">
        <v>16</v>
      </c>
      <c r="C171" s="164" t="s">
        <v>2445</v>
      </c>
      <c r="D171" s="164" t="s">
        <v>2446</v>
      </c>
      <c r="E171" s="164" t="s">
        <v>2447</v>
      </c>
      <c r="F171" s="164" t="s">
        <v>2448</v>
      </c>
      <c r="G171" s="0" t="s">
        <v>22</v>
      </c>
      <c r="H171" s="0" t="s">
        <v>22</v>
      </c>
      <c r="I171" s="164" t="s">
        <v>916</v>
      </c>
    </row>
    <row customHeight="1" ht="11.25">
      <c r="A172" s="164" t="s">
        <v>2270</v>
      </c>
      <c r="B172" s="164" t="s">
        <v>16</v>
      </c>
      <c r="C172" s="164" t="s">
        <v>2449</v>
      </c>
      <c r="D172" s="164" t="s">
        <v>2450</v>
      </c>
      <c r="E172" s="164" t="s">
        <v>2451</v>
      </c>
      <c r="F172" s="164" t="s">
        <v>2452</v>
      </c>
      <c r="G172" s="0" t="s">
        <v>22</v>
      </c>
      <c r="H172" s="0" t="s">
        <v>22</v>
      </c>
      <c r="I172" s="164" t="s">
        <v>916</v>
      </c>
    </row>
    <row customHeight="1" ht="11.25">
      <c r="A173" s="164" t="s">
        <v>2270</v>
      </c>
      <c r="B173" s="164" t="s">
        <v>16</v>
      </c>
      <c r="C173" s="164" t="s">
        <v>2456</v>
      </c>
      <c r="D173" s="164" t="s">
        <v>2457</v>
      </c>
      <c r="E173" s="164" t="s">
        <v>2458</v>
      </c>
      <c r="F173" s="164" t="s">
        <v>2459</v>
      </c>
      <c r="G173" s="0" t="s">
        <v>22</v>
      </c>
      <c r="H173" s="0" t="s">
        <v>22</v>
      </c>
      <c r="I173" s="164" t="s">
        <v>916</v>
      </c>
    </row>
    <row customHeight="1" ht="11.25">
      <c r="A174" s="164" t="s">
        <v>2270</v>
      </c>
      <c r="B174" s="164" t="s">
        <v>16</v>
      </c>
      <c r="C174" s="164" t="s">
        <v>2476</v>
      </c>
      <c r="D174" s="164" t="s">
        <v>2477</v>
      </c>
      <c r="E174" s="164" t="s">
        <v>2478</v>
      </c>
      <c r="F174" s="164" t="s">
        <v>2349</v>
      </c>
      <c r="G174" s="0" t="s">
        <v>22</v>
      </c>
      <c r="H174" s="0" t="s">
        <v>22</v>
      </c>
      <c r="I174" s="164" t="s">
        <v>916</v>
      </c>
    </row>
    <row customHeight="1" ht="11.25">
      <c r="A175" s="164" t="s">
        <v>2270</v>
      </c>
      <c r="B175" s="164" t="s">
        <v>16</v>
      </c>
      <c r="C175" s="164" t="s">
        <v>2487</v>
      </c>
      <c r="D175" s="164" t="s">
        <v>2488</v>
      </c>
      <c r="E175" s="164" t="s">
        <v>2489</v>
      </c>
      <c r="F175" s="164" t="s">
        <v>2311</v>
      </c>
      <c r="G175" s="0" t="s">
        <v>22</v>
      </c>
      <c r="H175" s="0" t="s">
        <v>22</v>
      </c>
      <c r="I175" s="164" t="s">
        <v>916</v>
      </c>
    </row>
    <row customHeight="1" ht="11.25">
      <c r="A176" s="164" t="s">
        <v>2270</v>
      </c>
      <c r="B176" s="164" t="s">
        <v>16</v>
      </c>
      <c r="C176" s="164" t="s">
        <v>2490</v>
      </c>
      <c r="D176" s="164" t="s">
        <v>2491</v>
      </c>
      <c r="E176" s="164" t="s">
        <v>2492</v>
      </c>
      <c r="F176" s="164" t="s">
        <v>2345</v>
      </c>
      <c r="G176" s="0" t="s">
        <v>22</v>
      </c>
      <c r="H176" s="0" t="s">
        <v>22</v>
      </c>
      <c r="I176" s="164" t="s">
        <v>916</v>
      </c>
    </row>
    <row customHeight="1" ht="11.25">
      <c r="A177" s="164" t="s">
        <v>2270</v>
      </c>
      <c r="B177" s="164" t="s">
        <v>16</v>
      </c>
      <c r="C177" s="164" t="s">
        <v>2501</v>
      </c>
      <c r="D177" s="164" t="s">
        <v>2502</v>
      </c>
      <c r="E177" s="164" t="s">
        <v>2503</v>
      </c>
      <c r="F177" s="164" t="s">
        <v>2401</v>
      </c>
      <c r="G177" s="0" t="s">
        <v>22</v>
      </c>
      <c r="H177" s="0" t="s">
        <v>22</v>
      </c>
      <c r="I177" s="164" t="s">
        <v>916</v>
      </c>
    </row>
    <row customHeight="1" ht="11.25">
      <c r="A178" s="164" t="s">
        <v>2270</v>
      </c>
      <c r="B178" s="164" t="s">
        <v>16</v>
      </c>
      <c r="C178" s="164" t="s">
        <v>2504</v>
      </c>
      <c r="D178" s="164" t="s">
        <v>2505</v>
      </c>
      <c r="E178" s="164" t="s">
        <v>2506</v>
      </c>
      <c r="F178" s="164" t="s">
        <v>2357</v>
      </c>
      <c r="G178" s="0" t="s">
        <v>22</v>
      </c>
      <c r="H178" s="0" t="s">
        <v>22</v>
      </c>
      <c r="I178" s="164" t="s">
        <v>916</v>
      </c>
    </row>
    <row customHeight="1" ht="11.25">
      <c r="A179" s="164" t="s">
        <v>2270</v>
      </c>
      <c r="B179" s="164" t="s">
        <v>16</v>
      </c>
      <c r="C179" s="164" t="s">
        <v>2523</v>
      </c>
      <c r="D179" s="164" t="s">
        <v>2524</v>
      </c>
      <c r="E179" s="164" t="s">
        <v>2525</v>
      </c>
      <c r="F179" s="164" t="s">
        <v>2349</v>
      </c>
      <c r="G179" s="0" t="s">
        <v>22</v>
      </c>
      <c r="H179" s="0" t="s">
        <v>22</v>
      </c>
      <c r="I179" s="164" t="s">
        <v>916</v>
      </c>
    </row>
    <row customHeight="1" ht="11.25">
      <c r="A180" s="164" t="s">
        <v>2270</v>
      </c>
      <c r="B180" s="164" t="s">
        <v>16</v>
      </c>
      <c r="C180" s="164" t="s">
        <v>2560</v>
      </c>
      <c r="D180" s="164" t="s">
        <v>2561</v>
      </c>
      <c r="E180" s="164" t="s">
        <v>2562</v>
      </c>
      <c r="F180" s="164" t="s">
        <v>2349</v>
      </c>
      <c r="G180" s="0" t="s">
        <v>22</v>
      </c>
      <c r="H180" s="0" t="s">
        <v>22</v>
      </c>
      <c r="I180" s="164" t="s">
        <v>916</v>
      </c>
    </row>
    <row customHeight="1" ht="11.25">
      <c r="A181" s="164" t="s">
        <v>2270</v>
      </c>
      <c r="B181" s="164" t="s">
        <v>16</v>
      </c>
      <c r="C181" s="164" t="s">
        <v>2563</v>
      </c>
      <c r="D181" s="164" t="s">
        <v>2564</v>
      </c>
      <c r="E181" s="164" t="s">
        <v>2565</v>
      </c>
      <c r="F181" s="164" t="s">
        <v>2566</v>
      </c>
      <c r="G181" s="0" t="s">
        <v>22</v>
      </c>
      <c r="H181" s="0" t="s">
        <v>22</v>
      </c>
      <c r="I181" s="164" t="s">
        <v>916</v>
      </c>
    </row>
    <row customHeight="1" ht="11.25">
      <c r="A182" s="164" t="s">
        <v>2270</v>
      </c>
      <c r="B182" s="164" t="s">
        <v>16</v>
      </c>
      <c r="C182" s="164" t="s">
        <v>2581</v>
      </c>
      <c r="D182" s="164" t="s">
        <v>2582</v>
      </c>
      <c r="E182" s="164" t="s">
        <v>2583</v>
      </c>
      <c r="F182" s="164" t="s">
        <v>2286</v>
      </c>
      <c r="G182" s="0" t="s">
        <v>22</v>
      </c>
      <c r="H182" s="0" t="s">
        <v>22</v>
      </c>
      <c r="I182" s="164" t="s">
        <v>916</v>
      </c>
    </row>
    <row customHeight="1" ht="11.25">
      <c r="A183" s="164" t="s">
        <v>2270</v>
      </c>
      <c r="B183" s="164" t="s">
        <v>16</v>
      </c>
      <c r="C183" s="164" t="s">
        <v>2588</v>
      </c>
      <c r="D183" s="164" t="s">
        <v>2589</v>
      </c>
      <c r="E183" s="164" t="s">
        <v>2590</v>
      </c>
      <c r="F183" s="164" t="s">
        <v>2357</v>
      </c>
      <c r="G183" s="0" t="s">
        <v>22</v>
      </c>
      <c r="H183" s="0" t="s">
        <v>22</v>
      </c>
      <c r="I183" s="164" t="s">
        <v>916</v>
      </c>
    </row>
    <row customHeight="1" ht="11.25">
      <c r="A184" s="164" t="s">
        <v>2270</v>
      </c>
      <c r="B184" s="164" t="s">
        <v>16</v>
      </c>
      <c r="C184" s="164" t="s">
        <v>2591</v>
      </c>
      <c r="D184" s="164" t="s">
        <v>2592</v>
      </c>
      <c r="E184" s="164" t="s">
        <v>2593</v>
      </c>
      <c r="F184" s="164" t="s">
        <v>2349</v>
      </c>
      <c r="G184" s="164" t="s">
        <v>2594</v>
      </c>
      <c r="H184" s="0" t="s">
        <v>22</v>
      </c>
      <c r="I184" s="164" t="s">
        <v>916</v>
      </c>
    </row>
    <row customHeight="1" ht="11.25">
      <c r="A185" s="164" t="s">
        <v>2270</v>
      </c>
      <c r="B185" s="164" t="s">
        <v>16</v>
      </c>
      <c r="C185" s="164" t="s">
        <v>2599</v>
      </c>
      <c r="D185" s="164" t="s">
        <v>2600</v>
      </c>
      <c r="E185" s="164" t="s">
        <v>2601</v>
      </c>
      <c r="F185" s="164" t="s">
        <v>2349</v>
      </c>
      <c r="G185" s="164" t="s">
        <v>2602</v>
      </c>
      <c r="H185" s="0" t="s">
        <v>22</v>
      </c>
      <c r="I185" s="164" t="s">
        <v>916</v>
      </c>
    </row>
    <row customHeight="1" ht="11.25">
      <c r="A186" s="164" t="s">
        <v>2270</v>
      </c>
      <c r="B186" s="164" t="s">
        <v>16</v>
      </c>
      <c r="C186" s="164" t="s">
        <v>2603</v>
      </c>
      <c r="D186" s="164" t="s">
        <v>2604</v>
      </c>
      <c r="E186" s="164" t="s">
        <v>2605</v>
      </c>
      <c r="F186" s="164" t="s">
        <v>2274</v>
      </c>
      <c r="G186" s="164" t="s">
        <v>2402</v>
      </c>
      <c r="H186" s="0" t="s">
        <v>22</v>
      </c>
      <c r="I186" s="164" t="s">
        <v>916</v>
      </c>
    </row>
    <row customHeight="1" ht="11.25">
      <c r="A187" s="164" t="s">
        <v>2270</v>
      </c>
      <c r="B187" s="164" t="s">
        <v>16</v>
      </c>
      <c r="C187" s="164" t="s">
        <v>2610</v>
      </c>
      <c r="D187" s="164" t="s">
        <v>2611</v>
      </c>
      <c r="E187" s="164" t="s">
        <v>2612</v>
      </c>
      <c r="F187" s="164" t="s">
        <v>2452</v>
      </c>
      <c r="G187" s="0" t="s">
        <v>22</v>
      </c>
      <c r="H187" s="0" t="s">
        <v>22</v>
      </c>
      <c r="I187" s="164" t="s">
        <v>916</v>
      </c>
    </row>
    <row customHeight="1" ht="11.25">
      <c r="A188" s="164" t="s">
        <v>2270</v>
      </c>
      <c r="B188" s="164" t="s">
        <v>16</v>
      </c>
      <c r="C188" s="164" t="s">
        <v>2617</v>
      </c>
      <c r="D188" s="164" t="s">
        <v>2618</v>
      </c>
      <c r="E188" s="164" t="s">
        <v>2619</v>
      </c>
      <c r="F188" s="164" t="s">
        <v>2620</v>
      </c>
      <c r="G188" s="0" t="s">
        <v>22</v>
      </c>
      <c r="H188" s="0" t="s">
        <v>22</v>
      </c>
      <c r="I188" s="164" t="s">
        <v>916</v>
      </c>
    </row>
    <row customHeight="1" ht="11.25">
      <c r="A189" s="164" t="s">
        <v>2270</v>
      </c>
      <c r="B189" s="164" t="s">
        <v>16</v>
      </c>
      <c r="C189" s="164" t="s">
        <v>2642</v>
      </c>
      <c r="D189" s="164" t="s">
        <v>2643</v>
      </c>
      <c r="E189" s="164" t="s">
        <v>2644</v>
      </c>
      <c r="F189" s="164" t="s">
        <v>2452</v>
      </c>
      <c r="G189" s="0" t="s">
        <v>22</v>
      </c>
      <c r="H189" s="0" t="s">
        <v>22</v>
      </c>
      <c r="I189" s="164" t="s">
        <v>916</v>
      </c>
    </row>
    <row customHeight="1" ht="11.25">
      <c r="A190" s="164" t="s">
        <v>2270</v>
      </c>
      <c r="B190" s="164" t="s">
        <v>16</v>
      </c>
      <c r="C190" s="164" t="s">
        <v>2645</v>
      </c>
      <c r="D190" s="164" t="s">
        <v>2646</v>
      </c>
      <c r="E190" s="164" t="s">
        <v>2647</v>
      </c>
      <c r="F190" s="164" t="s">
        <v>2349</v>
      </c>
      <c r="G190" s="0" t="s">
        <v>22</v>
      </c>
      <c r="H190" s="0" t="s">
        <v>22</v>
      </c>
      <c r="I190" s="164" t="s">
        <v>916</v>
      </c>
    </row>
    <row customHeight="1" ht="11.25">
      <c r="A191" s="164" t="s">
        <v>2270</v>
      </c>
      <c r="B191" s="164" t="s">
        <v>16</v>
      </c>
      <c r="C191" s="164" t="s">
        <v>2655</v>
      </c>
      <c r="D191" s="164" t="s">
        <v>2656</v>
      </c>
      <c r="E191" s="164" t="s">
        <v>2657</v>
      </c>
      <c r="F191" s="164" t="s">
        <v>2658</v>
      </c>
      <c r="G191" s="164" t="s">
        <v>2659</v>
      </c>
      <c r="H191" s="0" t="s">
        <v>22</v>
      </c>
      <c r="I191" s="164" t="s">
        <v>916</v>
      </c>
    </row>
    <row customHeight="1" ht="11.25">
      <c r="A192" s="164" t="s">
        <v>2270</v>
      </c>
      <c r="B192" s="164" t="s">
        <v>16</v>
      </c>
      <c r="C192" s="164" t="s">
        <v>2664</v>
      </c>
      <c r="D192" s="164" t="s">
        <v>2665</v>
      </c>
      <c r="E192" s="164" t="s">
        <v>2666</v>
      </c>
      <c r="F192" s="164" t="s">
        <v>2349</v>
      </c>
      <c r="G192" s="0" t="s">
        <v>22</v>
      </c>
      <c r="H192" s="0" t="s">
        <v>22</v>
      </c>
      <c r="I192" s="164" t="s">
        <v>916</v>
      </c>
    </row>
    <row customHeight="1" ht="11.25">
      <c r="A193" s="164" t="s">
        <v>2270</v>
      </c>
      <c r="B193" s="164" t="s">
        <v>16</v>
      </c>
      <c r="C193" s="164" t="s">
        <v>13</v>
      </c>
      <c r="D193" s="164" t="s">
        <v>45</v>
      </c>
      <c r="E193" s="164" t="s">
        <v>48</v>
      </c>
      <c r="F193" s="164" t="s">
        <v>50</v>
      </c>
      <c r="G193" s="164" t="s">
        <v>2674</v>
      </c>
      <c r="H193" s="0" t="s">
        <v>22</v>
      </c>
      <c r="I193" s="164" t="s">
        <v>916</v>
      </c>
    </row>
    <row customHeight="1" ht="11.25">
      <c r="A194" s="164" t="s">
        <v>2270</v>
      </c>
      <c r="B194" s="164" t="s">
        <v>16</v>
      </c>
      <c r="C194" s="164" t="s">
        <v>2682</v>
      </c>
      <c r="D194" s="164" t="s">
        <v>2683</v>
      </c>
      <c r="E194" s="164" t="s">
        <v>2684</v>
      </c>
      <c r="F194" s="164" t="s">
        <v>2274</v>
      </c>
      <c r="G194" s="0" t="s">
        <v>22</v>
      </c>
      <c r="H194" s="0" t="s">
        <v>22</v>
      </c>
      <c r="I194" s="164" t="s">
        <v>916</v>
      </c>
    </row>
    <row customHeight="1" ht="11.25">
      <c r="A195" s="164" t="s">
        <v>2270</v>
      </c>
      <c r="B195" s="164" t="s">
        <v>16</v>
      </c>
      <c r="C195" s="164" t="s">
        <v>2688</v>
      </c>
      <c r="D195" s="164" t="s">
        <v>2686</v>
      </c>
      <c r="E195" s="164" t="s">
        <v>2689</v>
      </c>
      <c r="F195" s="164" t="s">
        <v>2482</v>
      </c>
      <c r="G195" s="0" t="s">
        <v>22</v>
      </c>
      <c r="H195" s="0" t="s">
        <v>22</v>
      </c>
      <c r="I195" s="164" t="s">
        <v>916</v>
      </c>
    </row>
    <row customHeight="1" ht="11.25">
      <c r="A196" s="164" t="s">
        <v>2270</v>
      </c>
      <c r="B196" s="164" t="s">
        <v>16</v>
      </c>
      <c r="C196" s="164" t="s">
        <v>2690</v>
      </c>
      <c r="D196" s="164" t="s">
        <v>2691</v>
      </c>
      <c r="E196" s="164" t="s">
        <v>2692</v>
      </c>
      <c r="F196" s="164" t="s">
        <v>2353</v>
      </c>
      <c r="G196" s="0" t="s">
        <v>22</v>
      </c>
      <c r="H196" s="0" t="s">
        <v>22</v>
      </c>
      <c r="I196" s="164" t="s">
        <v>916</v>
      </c>
    </row>
    <row customHeight="1" ht="11.25">
      <c r="A197" s="164" t="s">
        <v>2270</v>
      </c>
      <c r="B197" s="164" t="s">
        <v>16</v>
      </c>
      <c r="C197" s="164" t="s">
        <v>2693</v>
      </c>
      <c r="D197" s="164" t="s">
        <v>2694</v>
      </c>
      <c r="E197" s="164" t="s">
        <v>2695</v>
      </c>
      <c r="F197" s="164" t="s">
        <v>2345</v>
      </c>
      <c r="G197" s="0" t="s">
        <v>22</v>
      </c>
      <c r="H197" s="0" t="s">
        <v>22</v>
      </c>
      <c r="I197" s="164" t="s">
        <v>916</v>
      </c>
    </row>
    <row customHeight="1" ht="11.25">
      <c r="A198" s="164" t="s">
        <v>2270</v>
      </c>
      <c r="B198" s="164" t="s">
        <v>16</v>
      </c>
      <c r="C198" s="164" t="s">
        <v>2696</v>
      </c>
      <c r="D198" s="164" t="s">
        <v>2697</v>
      </c>
      <c r="E198" s="164" t="s">
        <v>2698</v>
      </c>
      <c r="F198" s="164" t="s">
        <v>2392</v>
      </c>
      <c r="G198" s="0" t="s">
        <v>22</v>
      </c>
      <c r="H198" s="0" t="s">
        <v>22</v>
      </c>
      <c r="I198" s="164" t="s">
        <v>916</v>
      </c>
    </row>
    <row customHeight="1" ht="11.25">
      <c r="A199" s="164" t="s">
        <v>2270</v>
      </c>
      <c r="B199" s="164" t="s">
        <v>16</v>
      </c>
      <c r="C199" s="164" t="s">
        <v>2702</v>
      </c>
      <c r="D199" s="164" t="s">
        <v>2703</v>
      </c>
      <c r="E199" s="164" t="s">
        <v>2704</v>
      </c>
      <c r="F199" s="164" t="s">
        <v>2441</v>
      </c>
      <c r="G199" s="0" t="s">
        <v>22</v>
      </c>
      <c r="H199" s="0" t="s">
        <v>22</v>
      </c>
      <c r="I199" s="164" t="s">
        <v>916</v>
      </c>
    </row>
    <row customHeight="1" ht="11.25">
      <c r="A200" s="164" t="s">
        <v>2270</v>
      </c>
      <c r="B200" s="164" t="s">
        <v>16</v>
      </c>
      <c r="C200" s="164" t="s">
        <v>2723</v>
      </c>
      <c r="D200" s="164" t="s">
        <v>2724</v>
      </c>
      <c r="E200" s="164" t="s">
        <v>2725</v>
      </c>
      <c r="F200" s="164" t="s">
        <v>2349</v>
      </c>
      <c r="G200" s="0" t="s">
        <v>22</v>
      </c>
      <c r="H200" s="0" t="s">
        <v>22</v>
      </c>
      <c r="I200" s="164" t="s">
        <v>916</v>
      </c>
    </row>
    <row customHeight="1" ht="11.25">
      <c r="A201" s="164" t="s">
        <v>2270</v>
      </c>
      <c r="B201" s="164" t="s">
        <v>16</v>
      </c>
      <c r="C201" s="164" t="s">
        <v>2733</v>
      </c>
      <c r="D201" s="164" t="s">
        <v>2734</v>
      </c>
      <c r="E201" s="164" t="s">
        <v>2735</v>
      </c>
      <c r="F201" s="164" t="s">
        <v>2349</v>
      </c>
      <c r="G201" s="0" t="s">
        <v>22</v>
      </c>
      <c r="H201" s="0" t="s">
        <v>22</v>
      </c>
      <c r="I201" s="164" t="s">
        <v>916</v>
      </c>
    </row>
    <row customHeight="1" ht="11.25">
      <c r="A202" s="164" t="s">
        <v>2270</v>
      </c>
      <c r="B202" s="164" t="s">
        <v>16</v>
      </c>
      <c r="C202" s="164" t="s">
        <v>2736</v>
      </c>
      <c r="D202" s="164" t="s">
        <v>2737</v>
      </c>
      <c r="E202" s="164" t="s">
        <v>2738</v>
      </c>
      <c r="F202" s="164" t="s">
        <v>2392</v>
      </c>
      <c r="G202" s="0" t="s">
        <v>22</v>
      </c>
      <c r="H202" s="0" t="s">
        <v>22</v>
      </c>
      <c r="I202" s="164" t="s">
        <v>916</v>
      </c>
    </row>
    <row customHeight="1" ht="11.25">
      <c r="A203" s="164" t="s">
        <v>2270</v>
      </c>
      <c r="B203" s="164" t="s">
        <v>16</v>
      </c>
      <c r="C203" s="164" t="s">
        <v>2742</v>
      </c>
      <c r="D203" s="164" t="s">
        <v>2743</v>
      </c>
      <c r="E203" s="164" t="s">
        <v>2744</v>
      </c>
      <c r="F203" s="164" t="s">
        <v>2274</v>
      </c>
      <c r="G203" s="0" t="s">
        <v>22</v>
      </c>
      <c r="H203" s="0" t="s">
        <v>22</v>
      </c>
      <c r="I203" s="164" t="s">
        <v>916</v>
      </c>
    </row>
    <row customHeight="1" ht="11.25">
      <c r="A204" s="164" t="s">
        <v>2270</v>
      </c>
      <c r="B204" s="164" t="s">
        <v>16</v>
      </c>
      <c r="C204" s="164" t="s">
        <v>2754</v>
      </c>
      <c r="D204" s="164" t="s">
        <v>2755</v>
      </c>
      <c r="E204" s="164" t="s">
        <v>2756</v>
      </c>
      <c r="F204" s="164" t="s">
        <v>2757</v>
      </c>
      <c r="G204" s="0" t="s">
        <v>22</v>
      </c>
      <c r="H204" s="0" t="s">
        <v>22</v>
      </c>
      <c r="I204" s="164" t="s">
        <v>916</v>
      </c>
    </row>
    <row customHeight="1" ht="11.25">
      <c r="A205" s="164" t="s">
        <v>2270</v>
      </c>
      <c r="B205" s="164" t="s">
        <v>16</v>
      </c>
      <c r="C205" s="164" t="s">
        <v>2767</v>
      </c>
      <c r="D205" s="164" t="s">
        <v>2768</v>
      </c>
      <c r="E205" s="164" t="s">
        <v>2769</v>
      </c>
      <c r="F205" s="164" t="s">
        <v>2274</v>
      </c>
      <c r="G205" s="0" t="s">
        <v>22</v>
      </c>
      <c r="H205" s="0" t="s">
        <v>22</v>
      </c>
      <c r="I205" s="164" t="s">
        <v>916</v>
      </c>
    </row>
    <row customHeight="1" ht="11.25">
      <c r="A206" s="164" t="s">
        <v>2270</v>
      </c>
      <c r="B206" s="164" t="s">
        <v>16</v>
      </c>
      <c r="C206" s="164" t="s">
        <v>2776</v>
      </c>
      <c r="D206" s="164" t="s">
        <v>2777</v>
      </c>
      <c r="E206" s="164" t="s">
        <v>2778</v>
      </c>
      <c r="F206" s="164" t="s">
        <v>2779</v>
      </c>
      <c r="G206" s="0" t="s">
        <v>22</v>
      </c>
      <c r="H206" s="0" t="s">
        <v>22</v>
      </c>
      <c r="I206" s="164" t="s">
        <v>916</v>
      </c>
    </row>
    <row customHeight="1" ht="11.25">
      <c r="A207" s="164" t="s">
        <v>2270</v>
      </c>
      <c r="B207" s="164" t="s">
        <v>16</v>
      </c>
      <c r="C207" s="164" t="s">
        <v>2806</v>
      </c>
      <c r="D207" s="164" t="s">
        <v>2807</v>
      </c>
      <c r="E207" s="164" t="s">
        <v>2778</v>
      </c>
      <c r="F207" s="164" t="s">
        <v>2545</v>
      </c>
      <c r="G207" s="0" t="s">
        <v>22</v>
      </c>
      <c r="H207" s="0" t="s">
        <v>22</v>
      </c>
      <c r="I207" s="164" t="s">
        <v>916</v>
      </c>
    </row>
    <row customHeight="1" ht="11.25">
      <c r="A208" s="164" t="s">
        <v>2270</v>
      </c>
      <c r="B208" s="164" t="s">
        <v>16</v>
      </c>
      <c r="C208" s="164" t="s">
        <v>2796</v>
      </c>
      <c r="D208" s="164" t="s">
        <v>2797</v>
      </c>
      <c r="E208" s="164" t="s">
        <v>2798</v>
      </c>
      <c r="F208" s="164" t="s">
        <v>2799</v>
      </c>
      <c r="G208" s="0" t="s">
        <v>22</v>
      </c>
      <c r="H208" s="0" t="s">
        <v>22</v>
      </c>
      <c r="I208" s="164" t="s">
        <v>916</v>
      </c>
    </row>
    <row customHeight="1" ht="11.25">
      <c r="A209" s="164" t="s">
        <v>2270</v>
      </c>
      <c r="B209" s="164" t="s">
        <v>16</v>
      </c>
      <c r="C209" s="164" t="s">
        <v>2803</v>
      </c>
      <c r="D209" s="164" t="s">
        <v>2804</v>
      </c>
      <c r="E209" s="164" t="s">
        <v>2360</v>
      </c>
      <c r="F209" s="164" t="s">
        <v>2805</v>
      </c>
      <c r="G209" s="0" t="s">
        <v>22</v>
      </c>
      <c r="H209" s="0" t="s">
        <v>22</v>
      </c>
      <c r="I209" s="164" t="s">
        <v>916</v>
      </c>
    </row>
    <row customHeight="1" ht="11.25">
      <c r="A210" s="164" t="s">
        <v>2270</v>
      </c>
      <c r="B210" s="164" t="s">
        <v>16</v>
      </c>
      <c r="C210" s="164" t="s">
        <v>2808</v>
      </c>
      <c r="D210" s="164" t="s">
        <v>2809</v>
      </c>
      <c r="E210" s="164" t="s">
        <v>2778</v>
      </c>
      <c r="F210" s="164" t="s">
        <v>2810</v>
      </c>
      <c r="G210" s="0" t="s">
        <v>22</v>
      </c>
      <c r="H210" s="0" t="s">
        <v>22</v>
      </c>
      <c r="I210" s="164" t="s">
        <v>916</v>
      </c>
    </row>
    <row customHeight="1" ht="11.25">
      <c r="A211" s="164" t="s">
        <v>2270</v>
      </c>
      <c r="B211" s="164" t="s">
        <v>16</v>
      </c>
      <c r="C211" s="164" t="s">
        <v>2811</v>
      </c>
      <c r="D211" s="164" t="s">
        <v>2812</v>
      </c>
      <c r="E211" s="164" t="s">
        <v>2778</v>
      </c>
      <c r="F211" s="164" t="s">
        <v>2813</v>
      </c>
      <c r="G211" s="0" t="s">
        <v>22</v>
      </c>
      <c r="H211" s="0" t="s">
        <v>22</v>
      </c>
      <c r="I211" s="164" t="s">
        <v>916</v>
      </c>
    </row>
    <row customHeight="1" ht="11.25">
      <c r="A212" s="164" t="s">
        <v>2270</v>
      </c>
      <c r="B212" s="164" t="s">
        <v>16</v>
      </c>
      <c r="C212" s="164" t="s">
        <v>2279</v>
      </c>
      <c r="D212" s="164" t="s">
        <v>2280</v>
      </c>
      <c r="E212" s="164" t="s">
        <v>2281</v>
      </c>
      <c r="F212" s="164" t="s">
        <v>2282</v>
      </c>
      <c r="G212" s="0" t="s">
        <v>22</v>
      </c>
      <c r="H212" s="0" t="s">
        <v>22</v>
      </c>
      <c r="I212" s="164" t="s">
        <v>876</v>
      </c>
    </row>
    <row customHeight="1" ht="11.25">
      <c r="A213" s="164" t="s">
        <v>2270</v>
      </c>
      <c r="B213" s="164" t="s">
        <v>16</v>
      </c>
      <c r="C213" s="164" t="s">
        <v>2283</v>
      </c>
      <c r="D213" s="164" t="s">
        <v>2284</v>
      </c>
      <c r="E213" s="164" t="s">
        <v>2285</v>
      </c>
      <c r="F213" s="164" t="s">
        <v>2286</v>
      </c>
      <c r="G213" s="0" t="s">
        <v>22</v>
      </c>
      <c r="H213" s="0" t="s">
        <v>22</v>
      </c>
      <c r="I213" s="164" t="s">
        <v>876</v>
      </c>
    </row>
    <row customHeight="1" ht="11.25">
      <c r="A214" s="164" t="s">
        <v>2270</v>
      </c>
      <c r="B214" s="164" t="s">
        <v>16</v>
      </c>
      <c r="C214" s="164" t="s">
        <v>2814</v>
      </c>
      <c r="D214" s="164" t="s">
        <v>2815</v>
      </c>
      <c r="E214" s="164" t="s">
        <v>2816</v>
      </c>
      <c r="F214" s="164" t="s">
        <v>2441</v>
      </c>
      <c r="G214" s="0" t="s">
        <v>22</v>
      </c>
      <c r="H214" s="0" t="s">
        <v>22</v>
      </c>
      <c r="I214" s="164" t="s">
        <v>876</v>
      </c>
    </row>
    <row customHeight="1" ht="11.25">
      <c r="A215" s="164" t="s">
        <v>2270</v>
      </c>
      <c r="B215" s="164" t="s">
        <v>16</v>
      </c>
      <c r="C215" s="164" t="s">
        <v>2817</v>
      </c>
      <c r="D215" s="164" t="s">
        <v>2818</v>
      </c>
      <c r="E215" s="164" t="s">
        <v>2819</v>
      </c>
      <c r="F215" s="164" t="s">
        <v>2392</v>
      </c>
      <c r="G215" s="0" t="s">
        <v>22</v>
      </c>
      <c r="H215" s="0" t="s">
        <v>22</v>
      </c>
      <c r="I215" s="164" t="s">
        <v>876</v>
      </c>
    </row>
    <row customHeight="1" ht="11.25">
      <c r="A216" s="164" t="s">
        <v>2270</v>
      </c>
      <c r="B216" s="164" t="s">
        <v>16</v>
      </c>
      <c r="C216" s="164" t="s">
        <v>2300</v>
      </c>
      <c r="D216" s="164" t="s">
        <v>2301</v>
      </c>
      <c r="E216" s="164" t="s">
        <v>2302</v>
      </c>
      <c r="F216" s="164" t="s">
        <v>2303</v>
      </c>
      <c r="G216" s="0" t="s">
        <v>22</v>
      </c>
      <c r="H216" s="0" t="s">
        <v>22</v>
      </c>
      <c r="I216" s="164" t="s">
        <v>876</v>
      </c>
    </row>
    <row customHeight="1" ht="11.25">
      <c r="A217" s="164" t="s">
        <v>2270</v>
      </c>
      <c r="B217" s="164" t="s">
        <v>16</v>
      </c>
      <c r="C217" s="164" t="s">
        <v>2308</v>
      </c>
      <c r="D217" s="164" t="s">
        <v>2309</v>
      </c>
      <c r="E217" s="164" t="s">
        <v>2310</v>
      </c>
      <c r="F217" s="164" t="s">
        <v>2311</v>
      </c>
      <c r="G217" s="0" t="s">
        <v>22</v>
      </c>
      <c r="H217" s="0" t="s">
        <v>22</v>
      </c>
      <c r="I217" s="164" t="s">
        <v>876</v>
      </c>
    </row>
    <row customHeight="1" ht="11.25">
      <c r="A218" s="164" t="s">
        <v>2270</v>
      </c>
      <c r="B218" s="164" t="s">
        <v>16</v>
      </c>
      <c r="C218" s="164" t="s">
        <v>2328</v>
      </c>
      <c r="D218" s="164" t="s">
        <v>2329</v>
      </c>
      <c r="E218" s="164" t="s">
        <v>2306</v>
      </c>
      <c r="F218" s="164" t="s">
        <v>2330</v>
      </c>
      <c r="G218" s="0" t="s">
        <v>22</v>
      </c>
      <c r="H218" s="0" t="s">
        <v>22</v>
      </c>
      <c r="I218" s="164" t="s">
        <v>876</v>
      </c>
    </row>
    <row customHeight="1" ht="11.25">
      <c r="A219" s="164" t="s">
        <v>2270</v>
      </c>
      <c r="B219" s="164" t="s">
        <v>16</v>
      </c>
      <c r="C219" s="164" t="s">
        <v>2820</v>
      </c>
      <c r="D219" s="164" t="s">
        <v>2821</v>
      </c>
      <c r="E219" s="164" t="s">
        <v>2822</v>
      </c>
      <c r="F219" s="164" t="s">
        <v>2319</v>
      </c>
      <c r="G219" s="0" t="s">
        <v>22</v>
      </c>
      <c r="H219" s="0" t="s">
        <v>22</v>
      </c>
      <c r="I219" s="164" t="s">
        <v>876</v>
      </c>
    </row>
    <row customHeight="1" ht="11.25">
      <c r="A220" s="164" t="s">
        <v>2270</v>
      </c>
      <c r="B220" s="164" t="s">
        <v>16</v>
      </c>
      <c r="C220" s="164" t="s">
        <v>2823</v>
      </c>
      <c r="D220" s="164" t="s">
        <v>2824</v>
      </c>
      <c r="E220" s="164" t="s">
        <v>2825</v>
      </c>
      <c r="F220" s="164" t="s">
        <v>2826</v>
      </c>
      <c r="G220" s="0" t="s">
        <v>22</v>
      </c>
      <c r="H220" s="0" t="s">
        <v>22</v>
      </c>
      <c r="I220" s="164" t="s">
        <v>876</v>
      </c>
    </row>
    <row customHeight="1" ht="11.25">
      <c r="A221" s="164" t="s">
        <v>2270</v>
      </c>
      <c r="B221" s="164" t="s">
        <v>16</v>
      </c>
      <c r="C221" s="164" t="s">
        <v>2827</v>
      </c>
      <c r="D221" s="164" t="s">
        <v>2828</v>
      </c>
      <c r="E221" s="164" t="s">
        <v>2825</v>
      </c>
      <c r="F221" s="164" t="s">
        <v>2361</v>
      </c>
      <c r="G221" s="0" t="s">
        <v>22</v>
      </c>
      <c r="H221" s="0" t="s">
        <v>22</v>
      </c>
      <c r="I221" s="164" t="s">
        <v>876</v>
      </c>
    </row>
    <row customHeight="1" ht="11.25">
      <c r="A222" s="164" t="s">
        <v>2270</v>
      </c>
      <c r="B222" s="164" t="s">
        <v>16</v>
      </c>
      <c r="C222" s="164" t="s">
        <v>2342</v>
      </c>
      <c r="D222" s="164" t="s">
        <v>2343</v>
      </c>
      <c r="E222" s="164" t="s">
        <v>2344</v>
      </c>
      <c r="F222" s="164" t="s">
        <v>2345</v>
      </c>
      <c r="G222" s="0" t="s">
        <v>22</v>
      </c>
      <c r="H222" s="0" t="s">
        <v>22</v>
      </c>
      <c r="I222" s="164" t="s">
        <v>876</v>
      </c>
    </row>
    <row customHeight="1" ht="11.25">
      <c r="A223" s="164" t="s">
        <v>2270</v>
      </c>
      <c r="B223" s="164" t="s">
        <v>16</v>
      </c>
      <c r="C223" s="164" t="s">
        <v>2829</v>
      </c>
      <c r="D223" s="164" t="s">
        <v>2830</v>
      </c>
      <c r="E223" s="164" t="s">
        <v>2831</v>
      </c>
      <c r="F223" s="164" t="s">
        <v>2286</v>
      </c>
      <c r="G223" s="0" t="s">
        <v>22</v>
      </c>
      <c r="H223" s="0" t="s">
        <v>22</v>
      </c>
      <c r="I223" s="164" t="s">
        <v>876</v>
      </c>
    </row>
    <row customHeight="1" ht="11.25">
      <c r="A224" s="164" t="s">
        <v>2270</v>
      </c>
      <c r="B224" s="164" t="s">
        <v>16</v>
      </c>
      <c r="C224" s="164" t="s">
        <v>2832</v>
      </c>
      <c r="D224" s="164" t="s">
        <v>2833</v>
      </c>
      <c r="E224" s="164" t="s">
        <v>2834</v>
      </c>
      <c r="F224" s="164" t="s">
        <v>2433</v>
      </c>
      <c r="G224" s="164" t="s">
        <v>2835</v>
      </c>
      <c r="H224" s="0" t="s">
        <v>22</v>
      </c>
      <c r="I224" s="164" t="s">
        <v>876</v>
      </c>
    </row>
    <row customHeight="1" ht="11.25">
      <c r="A225" s="164" t="s">
        <v>2270</v>
      </c>
      <c r="B225" s="164" t="s">
        <v>16</v>
      </c>
      <c r="C225" s="164" t="s">
        <v>2346</v>
      </c>
      <c r="D225" s="164" t="s">
        <v>2347</v>
      </c>
      <c r="E225" s="164" t="s">
        <v>2348</v>
      </c>
      <c r="F225" s="164" t="s">
        <v>2349</v>
      </c>
      <c r="G225" s="0" t="s">
        <v>22</v>
      </c>
      <c r="H225" s="0" t="s">
        <v>22</v>
      </c>
      <c r="I225" s="164" t="s">
        <v>876</v>
      </c>
    </row>
    <row customHeight="1" ht="11.25">
      <c r="A226" s="164" t="s">
        <v>2270</v>
      </c>
      <c r="B226" s="164" t="s">
        <v>16</v>
      </c>
      <c r="C226" s="164" t="s">
        <v>2836</v>
      </c>
      <c r="D226" s="164" t="s">
        <v>2837</v>
      </c>
      <c r="E226" s="164" t="s">
        <v>2838</v>
      </c>
      <c r="F226" s="164" t="s">
        <v>2357</v>
      </c>
      <c r="G226" s="0" t="s">
        <v>22</v>
      </c>
      <c r="H226" s="0" t="s">
        <v>22</v>
      </c>
      <c r="I226" s="164" t="s">
        <v>876</v>
      </c>
    </row>
    <row customHeight="1" ht="11.25">
      <c r="A227" s="164" t="s">
        <v>2270</v>
      </c>
      <c r="B227" s="164" t="s">
        <v>16</v>
      </c>
      <c r="C227" s="164" t="s">
        <v>2358</v>
      </c>
      <c r="D227" s="164" t="s">
        <v>2359</v>
      </c>
      <c r="E227" s="164" t="s">
        <v>2360</v>
      </c>
      <c r="F227" s="164" t="s">
        <v>2361</v>
      </c>
      <c r="G227" s="0" t="s">
        <v>22</v>
      </c>
      <c r="H227" s="0" t="s">
        <v>22</v>
      </c>
      <c r="I227" s="164" t="s">
        <v>876</v>
      </c>
    </row>
    <row customHeight="1" ht="11.25">
      <c r="A228" s="164" t="s">
        <v>2270</v>
      </c>
      <c r="B228" s="164" t="s">
        <v>16</v>
      </c>
      <c r="C228" s="164" t="s">
        <v>2839</v>
      </c>
      <c r="D228" s="164" t="s">
        <v>2840</v>
      </c>
      <c r="E228" s="164" t="s">
        <v>2825</v>
      </c>
      <c r="F228" s="164" t="s">
        <v>2841</v>
      </c>
      <c r="G228" s="0" t="s">
        <v>22</v>
      </c>
      <c r="H228" s="0" t="s">
        <v>22</v>
      </c>
      <c r="I228" s="164" t="s">
        <v>876</v>
      </c>
    </row>
    <row customHeight="1" ht="11.25">
      <c r="A229" s="164" t="s">
        <v>2270</v>
      </c>
      <c r="B229" s="164" t="s">
        <v>16</v>
      </c>
      <c r="C229" s="164" t="s">
        <v>2842</v>
      </c>
      <c r="D229" s="164" t="s">
        <v>2843</v>
      </c>
      <c r="E229" s="164" t="s">
        <v>2844</v>
      </c>
      <c r="F229" s="164" t="s">
        <v>2463</v>
      </c>
      <c r="G229" s="0" t="s">
        <v>22</v>
      </c>
      <c r="H229" s="0" t="s">
        <v>22</v>
      </c>
      <c r="I229" s="164" t="s">
        <v>876</v>
      </c>
    </row>
    <row customHeight="1" ht="11.25">
      <c r="A230" s="164" t="s">
        <v>2270</v>
      </c>
      <c r="B230" s="164" t="s">
        <v>16</v>
      </c>
      <c r="C230" s="164" t="s">
        <v>2845</v>
      </c>
      <c r="D230" s="164" t="s">
        <v>2846</v>
      </c>
      <c r="E230" s="164" t="s">
        <v>2847</v>
      </c>
      <c r="F230" s="164" t="s">
        <v>590</v>
      </c>
      <c r="G230" s="0" t="s">
        <v>22</v>
      </c>
      <c r="H230" s="0" t="s">
        <v>22</v>
      </c>
      <c r="I230" s="164" t="s">
        <v>876</v>
      </c>
    </row>
    <row customHeight="1" ht="11.25">
      <c r="A231" s="164" t="s">
        <v>2270</v>
      </c>
      <c r="B231" s="164" t="s">
        <v>16</v>
      </c>
      <c r="C231" s="164" t="s">
        <v>2848</v>
      </c>
      <c r="D231" s="164" t="s">
        <v>2849</v>
      </c>
      <c r="E231" s="164" t="s">
        <v>2850</v>
      </c>
      <c r="F231" s="164" t="s">
        <v>590</v>
      </c>
      <c r="G231" s="0" t="s">
        <v>22</v>
      </c>
      <c r="H231" s="164" t="s">
        <v>2851</v>
      </c>
      <c r="I231" s="164" t="s">
        <v>876</v>
      </c>
    </row>
    <row customHeight="1" ht="11.25">
      <c r="A232" s="164" t="s">
        <v>2270</v>
      </c>
      <c r="B232" s="164" t="s">
        <v>16</v>
      </c>
      <c r="C232" s="164" t="s">
        <v>2852</v>
      </c>
      <c r="D232" s="164" t="s">
        <v>2853</v>
      </c>
      <c r="E232" s="164" t="s">
        <v>2854</v>
      </c>
      <c r="F232" s="164" t="s">
        <v>590</v>
      </c>
      <c r="G232" s="0" t="s">
        <v>22</v>
      </c>
      <c r="H232" s="0" t="s">
        <v>22</v>
      </c>
      <c r="I232" s="164" t="s">
        <v>876</v>
      </c>
    </row>
    <row customHeight="1" ht="11.25">
      <c r="A233" s="164" t="s">
        <v>2270</v>
      </c>
      <c r="B233" s="164" t="s">
        <v>16</v>
      </c>
      <c r="C233" s="164" t="s">
        <v>2855</v>
      </c>
      <c r="D233" s="164" t="s">
        <v>2856</v>
      </c>
      <c r="E233" s="164" t="s">
        <v>2857</v>
      </c>
      <c r="F233" s="164" t="s">
        <v>590</v>
      </c>
      <c r="G233" s="0" t="s">
        <v>22</v>
      </c>
      <c r="H233" s="0" t="s">
        <v>22</v>
      </c>
      <c r="I233" s="164" t="s">
        <v>876</v>
      </c>
    </row>
    <row customHeight="1" ht="11.25">
      <c r="A234" s="164" t="s">
        <v>2270</v>
      </c>
      <c r="B234" s="164" t="s">
        <v>16</v>
      </c>
      <c r="C234" s="164" t="s">
        <v>2858</v>
      </c>
      <c r="D234" s="164" t="s">
        <v>2859</v>
      </c>
      <c r="E234" s="164" t="s">
        <v>2860</v>
      </c>
      <c r="F234" s="164" t="s">
        <v>590</v>
      </c>
      <c r="G234" s="0" t="s">
        <v>22</v>
      </c>
      <c r="H234" s="0" t="s">
        <v>22</v>
      </c>
      <c r="I234" s="164" t="s">
        <v>876</v>
      </c>
    </row>
    <row customHeight="1" ht="11.25">
      <c r="A235" s="164" t="s">
        <v>2270</v>
      </c>
      <c r="B235" s="164" t="s">
        <v>16</v>
      </c>
      <c r="C235" s="164" t="s">
        <v>2861</v>
      </c>
      <c r="D235" s="164" t="s">
        <v>2862</v>
      </c>
      <c r="E235" s="164" t="s">
        <v>2863</v>
      </c>
      <c r="F235" s="164" t="s">
        <v>590</v>
      </c>
      <c r="G235" s="0" t="s">
        <v>22</v>
      </c>
      <c r="H235" s="0" t="s">
        <v>22</v>
      </c>
      <c r="I235" s="164" t="s">
        <v>876</v>
      </c>
    </row>
    <row customHeight="1" ht="11.25">
      <c r="A236" s="164" t="s">
        <v>2270</v>
      </c>
      <c r="B236" s="164" t="s">
        <v>16</v>
      </c>
      <c r="C236" s="164" t="s">
        <v>2864</v>
      </c>
      <c r="D236" s="164" t="s">
        <v>2865</v>
      </c>
      <c r="E236" s="164" t="s">
        <v>2866</v>
      </c>
      <c r="F236" s="164" t="s">
        <v>2384</v>
      </c>
      <c r="G236" s="0" t="s">
        <v>22</v>
      </c>
      <c r="H236" s="0" t="s">
        <v>22</v>
      </c>
      <c r="I236" s="164" t="s">
        <v>876</v>
      </c>
    </row>
    <row customHeight="1" ht="11.25">
      <c r="A237" s="164" t="s">
        <v>2270</v>
      </c>
      <c r="B237" s="164" t="s">
        <v>16</v>
      </c>
      <c r="C237" s="5774" t="s">
        <v>22</v>
      </c>
      <c r="D237" s="164" t="s">
        <v>2375</v>
      </c>
      <c r="E237" s="164" t="s">
        <v>2376</v>
      </c>
      <c r="F237" s="164" t="s">
        <v>2353</v>
      </c>
      <c r="G237" s="0" t="s">
        <v>22</v>
      </c>
      <c r="H237" s="0" t="s">
        <v>22</v>
      </c>
      <c r="I237" s="164" t="s">
        <v>876</v>
      </c>
    </row>
    <row customHeight="1" ht="11.25">
      <c r="A238" s="164" t="s">
        <v>2270</v>
      </c>
      <c r="B238" s="164" t="s">
        <v>16</v>
      </c>
      <c r="C238" s="164" t="s">
        <v>2867</v>
      </c>
      <c r="D238" s="164" t="s">
        <v>2868</v>
      </c>
      <c r="E238" s="164" t="s">
        <v>2869</v>
      </c>
      <c r="F238" s="164" t="s">
        <v>2406</v>
      </c>
      <c r="G238" s="0" t="s">
        <v>22</v>
      </c>
      <c r="H238" s="0" t="s">
        <v>22</v>
      </c>
      <c r="I238" s="164" t="s">
        <v>876</v>
      </c>
    </row>
    <row customHeight="1" ht="11.25">
      <c r="A239" s="164" t="s">
        <v>2270</v>
      </c>
      <c r="B239" s="164" t="s">
        <v>16</v>
      </c>
      <c r="C239" s="164" t="s">
        <v>2870</v>
      </c>
      <c r="D239" s="164" t="s">
        <v>2871</v>
      </c>
      <c r="E239" s="164" t="s">
        <v>2872</v>
      </c>
      <c r="F239" s="164" t="s">
        <v>2441</v>
      </c>
      <c r="G239" s="164" t="s">
        <v>2873</v>
      </c>
      <c r="H239" s="0" t="s">
        <v>22</v>
      </c>
      <c r="I239" s="164" t="s">
        <v>876</v>
      </c>
    </row>
    <row customHeight="1" ht="11.25">
      <c r="A240" s="164" t="s">
        <v>2270</v>
      </c>
      <c r="B240" s="164" t="s">
        <v>16</v>
      </c>
      <c r="C240" s="164" t="s">
        <v>2389</v>
      </c>
      <c r="D240" s="164" t="s">
        <v>2390</v>
      </c>
      <c r="E240" s="164" t="s">
        <v>2391</v>
      </c>
      <c r="F240" s="164" t="s">
        <v>2392</v>
      </c>
      <c r="G240" s="164" t="s">
        <v>2393</v>
      </c>
      <c r="H240" s="0" t="s">
        <v>22</v>
      </c>
      <c r="I240" s="164" t="s">
        <v>876</v>
      </c>
    </row>
    <row customHeight="1" ht="11.25">
      <c r="A241" s="164" t="s">
        <v>2270</v>
      </c>
      <c r="B241" s="164" t="s">
        <v>16</v>
      </c>
      <c r="C241" s="164" t="s">
        <v>2398</v>
      </c>
      <c r="D241" s="164" t="s">
        <v>2399</v>
      </c>
      <c r="E241" s="164" t="s">
        <v>2400</v>
      </c>
      <c r="F241" s="164" t="s">
        <v>2401</v>
      </c>
      <c r="G241" s="164" t="s">
        <v>2402</v>
      </c>
      <c r="H241" s="0" t="s">
        <v>22</v>
      </c>
      <c r="I241" s="164" t="s">
        <v>876</v>
      </c>
    </row>
    <row customHeight="1" ht="11.25">
      <c r="A242" s="164" t="s">
        <v>2270</v>
      </c>
      <c r="B242" s="164" t="s">
        <v>16</v>
      </c>
      <c r="C242" s="164" t="s">
        <v>2874</v>
      </c>
      <c r="D242" s="164" t="s">
        <v>2875</v>
      </c>
      <c r="E242" s="164" t="s">
        <v>2876</v>
      </c>
      <c r="F242" s="164" t="s">
        <v>2401</v>
      </c>
      <c r="G242" s="164" t="s">
        <v>2877</v>
      </c>
      <c r="H242" s="0" t="s">
        <v>22</v>
      </c>
      <c r="I242" s="164" t="s">
        <v>876</v>
      </c>
    </row>
    <row customHeight="1" ht="11.25">
      <c r="A243" s="164" t="s">
        <v>2270</v>
      </c>
      <c r="B243" s="164" t="s">
        <v>16</v>
      </c>
      <c r="C243" s="164" t="s">
        <v>2878</v>
      </c>
      <c r="D243" s="164" t="s">
        <v>2879</v>
      </c>
      <c r="E243" s="164" t="s">
        <v>2880</v>
      </c>
      <c r="F243" s="164" t="s">
        <v>2401</v>
      </c>
      <c r="G243" s="0" t="s">
        <v>22</v>
      </c>
      <c r="H243" s="0" t="s">
        <v>22</v>
      </c>
      <c r="I243" s="164" t="s">
        <v>876</v>
      </c>
    </row>
    <row customHeight="1" ht="11.25">
      <c r="A244" s="164" t="s">
        <v>2270</v>
      </c>
      <c r="B244" s="164" t="s">
        <v>16</v>
      </c>
      <c r="C244" s="164" t="s">
        <v>2421</v>
      </c>
      <c r="D244" s="164" t="s">
        <v>2422</v>
      </c>
      <c r="E244" s="164" t="s">
        <v>2423</v>
      </c>
      <c r="F244" s="164" t="s">
        <v>2424</v>
      </c>
      <c r="G244" s="0" t="s">
        <v>22</v>
      </c>
      <c r="H244" s="0" t="s">
        <v>22</v>
      </c>
      <c r="I244" s="164" t="s">
        <v>876</v>
      </c>
    </row>
    <row customHeight="1" ht="11.25">
      <c r="A245" s="164" t="s">
        <v>2270</v>
      </c>
      <c r="B245" s="164" t="s">
        <v>16</v>
      </c>
      <c r="C245" s="164" t="s">
        <v>2881</v>
      </c>
      <c r="D245" s="164" t="s">
        <v>2882</v>
      </c>
      <c r="E245" s="164" t="s">
        <v>2883</v>
      </c>
      <c r="F245" s="164" t="s">
        <v>2345</v>
      </c>
      <c r="G245" s="164" t="s">
        <v>2884</v>
      </c>
      <c r="H245" s="0" t="s">
        <v>22</v>
      </c>
      <c r="I245" s="164" t="s">
        <v>876</v>
      </c>
    </row>
    <row customHeight="1" ht="11.25">
      <c r="A246" s="164" t="s">
        <v>2270</v>
      </c>
      <c r="B246" s="164" t="s">
        <v>16</v>
      </c>
      <c r="C246" s="164" t="s">
        <v>2885</v>
      </c>
      <c r="D246" s="164" t="s">
        <v>2886</v>
      </c>
      <c r="E246" s="164" t="s">
        <v>2887</v>
      </c>
      <c r="F246" s="164" t="s">
        <v>2486</v>
      </c>
      <c r="G246" s="0" t="s">
        <v>22</v>
      </c>
      <c r="H246" s="0" t="s">
        <v>22</v>
      </c>
      <c r="I246" s="164" t="s">
        <v>876</v>
      </c>
    </row>
    <row customHeight="1" ht="11.25">
      <c r="A247" s="164" t="s">
        <v>2270</v>
      </c>
      <c r="B247" s="164" t="s">
        <v>16</v>
      </c>
      <c r="C247" s="164" t="s">
        <v>2434</v>
      </c>
      <c r="D247" s="164" t="s">
        <v>2435</v>
      </c>
      <c r="E247" s="164" t="s">
        <v>2436</v>
      </c>
      <c r="F247" s="164" t="s">
        <v>2437</v>
      </c>
      <c r="G247" s="0" t="s">
        <v>22</v>
      </c>
      <c r="H247" s="0" t="s">
        <v>22</v>
      </c>
      <c r="I247" s="164" t="s">
        <v>876</v>
      </c>
    </row>
    <row customHeight="1" ht="11.25">
      <c r="A248" s="164" t="s">
        <v>2270</v>
      </c>
      <c r="B248" s="164" t="s">
        <v>16</v>
      </c>
      <c r="C248" s="164" t="s">
        <v>2888</v>
      </c>
      <c r="D248" s="164" t="s">
        <v>2889</v>
      </c>
      <c r="E248" s="164" t="s">
        <v>2890</v>
      </c>
      <c r="F248" s="164" t="s">
        <v>2533</v>
      </c>
      <c r="G248" s="164" t="s">
        <v>2873</v>
      </c>
      <c r="H248" s="0" t="s">
        <v>22</v>
      </c>
      <c r="I248" s="164" t="s">
        <v>876</v>
      </c>
    </row>
    <row customHeight="1" ht="11.25">
      <c r="A249" s="164" t="s">
        <v>2270</v>
      </c>
      <c r="B249" s="164" t="s">
        <v>16</v>
      </c>
      <c r="C249" s="164" t="s">
        <v>2438</v>
      </c>
      <c r="D249" s="164" t="s">
        <v>2439</v>
      </c>
      <c r="E249" s="164" t="s">
        <v>2440</v>
      </c>
      <c r="F249" s="164" t="s">
        <v>2441</v>
      </c>
      <c r="G249" s="0" t="s">
        <v>22</v>
      </c>
      <c r="H249" s="0" t="s">
        <v>22</v>
      </c>
      <c r="I249" s="164" t="s">
        <v>876</v>
      </c>
    </row>
    <row customHeight="1" ht="11.25">
      <c r="A250" s="164" t="s">
        <v>2270</v>
      </c>
      <c r="B250" s="164" t="s">
        <v>16</v>
      </c>
      <c r="C250" s="164" t="s">
        <v>2891</v>
      </c>
      <c r="D250" s="164" t="s">
        <v>2892</v>
      </c>
      <c r="E250" s="164" t="s">
        <v>2893</v>
      </c>
      <c r="F250" s="164" t="s">
        <v>2894</v>
      </c>
      <c r="G250" s="0" t="s">
        <v>22</v>
      </c>
      <c r="H250" s="0" t="s">
        <v>22</v>
      </c>
      <c r="I250" s="164" t="s">
        <v>876</v>
      </c>
    </row>
    <row customHeight="1" ht="11.25">
      <c r="A251" s="164" t="s">
        <v>2270</v>
      </c>
      <c r="B251" s="164" t="s">
        <v>16</v>
      </c>
      <c r="C251" s="164" t="s">
        <v>2895</v>
      </c>
      <c r="D251" s="164" t="s">
        <v>2896</v>
      </c>
      <c r="E251" s="164" t="s">
        <v>2897</v>
      </c>
      <c r="F251" s="164" t="s">
        <v>2757</v>
      </c>
      <c r="G251" s="0" t="s">
        <v>22</v>
      </c>
      <c r="H251" s="0" t="s">
        <v>22</v>
      </c>
      <c r="I251" s="164" t="s">
        <v>876</v>
      </c>
    </row>
    <row customHeight="1" ht="11.25">
      <c r="A252" s="164" t="s">
        <v>2270</v>
      </c>
      <c r="B252" s="164" t="s">
        <v>16</v>
      </c>
      <c r="C252" s="164" t="s">
        <v>2898</v>
      </c>
      <c r="D252" s="164" t="s">
        <v>2899</v>
      </c>
      <c r="E252" s="164" t="s">
        <v>2900</v>
      </c>
      <c r="F252" s="164" t="s">
        <v>2757</v>
      </c>
      <c r="G252" s="0" t="s">
        <v>22</v>
      </c>
      <c r="H252" s="0" t="s">
        <v>22</v>
      </c>
      <c r="I252" s="164" t="s">
        <v>876</v>
      </c>
    </row>
    <row customHeight="1" ht="11.25">
      <c r="A253" s="164" t="s">
        <v>2270</v>
      </c>
      <c r="B253" s="164" t="s">
        <v>16</v>
      </c>
      <c r="C253" s="164" t="s">
        <v>2901</v>
      </c>
      <c r="D253" s="164" t="s">
        <v>2902</v>
      </c>
      <c r="E253" s="164" t="s">
        <v>2903</v>
      </c>
      <c r="F253" s="164" t="s">
        <v>2496</v>
      </c>
      <c r="G253" s="0" t="s">
        <v>22</v>
      </c>
      <c r="H253" s="0" t="s">
        <v>22</v>
      </c>
      <c r="I253" s="164" t="s">
        <v>876</v>
      </c>
    </row>
    <row customHeight="1" ht="11.25">
      <c r="A254" s="164" t="s">
        <v>2270</v>
      </c>
      <c r="B254" s="164" t="s">
        <v>16</v>
      </c>
      <c r="C254" s="164" t="s">
        <v>2904</v>
      </c>
      <c r="D254" s="164" t="s">
        <v>2905</v>
      </c>
      <c r="E254" s="164" t="s">
        <v>2906</v>
      </c>
      <c r="F254" s="164" t="s">
        <v>2500</v>
      </c>
      <c r="G254" s="0" t="s">
        <v>22</v>
      </c>
      <c r="H254" s="0" t="s">
        <v>22</v>
      </c>
      <c r="I254" s="164" t="s">
        <v>876</v>
      </c>
    </row>
    <row customHeight="1" ht="11.25">
      <c r="A255" s="164" t="s">
        <v>2270</v>
      </c>
      <c r="B255" s="164" t="s">
        <v>16</v>
      </c>
      <c r="C255" s="164" t="s">
        <v>2445</v>
      </c>
      <c r="D255" s="164" t="s">
        <v>2446</v>
      </c>
      <c r="E255" s="164" t="s">
        <v>2447</v>
      </c>
      <c r="F255" s="164" t="s">
        <v>2448</v>
      </c>
      <c r="G255" s="0" t="s">
        <v>22</v>
      </c>
      <c r="H255" s="0" t="s">
        <v>22</v>
      </c>
      <c r="I255" s="164" t="s">
        <v>876</v>
      </c>
    </row>
    <row customHeight="1" ht="11.25">
      <c r="A256" s="164" t="s">
        <v>2270</v>
      </c>
      <c r="B256" s="164" t="s">
        <v>16</v>
      </c>
      <c r="C256" s="164" t="s">
        <v>2449</v>
      </c>
      <c r="D256" s="164" t="s">
        <v>2450</v>
      </c>
      <c r="E256" s="164" t="s">
        <v>2451</v>
      </c>
      <c r="F256" s="164" t="s">
        <v>2452</v>
      </c>
      <c r="G256" s="0" t="s">
        <v>22</v>
      </c>
      <c r="H256" s="0" t="s">
        <v>22</v>
      </c>
      <c r="I256" s="164" t="s">
        <v>876</v>
      </c>
    </row>
    <row customHeight="1" ht="11.25">
      <c r="A257" s="164" t="s">
        <v>2270</v>
      </c>
      <c r="B257" s="164" t="s">
        <v>16</v>
      </c>
      <c r="C257" s="164" t="s">
        <v>2453</v>
      </c>
      <c r="D257" s="164" t="s">
        <v>2454</v>
      </c>
      <c r="E257" s="164" t="s">
        <v>2455</v>
      </c>
      <c r="F257" s="164" t="s">
        <v>2392</v>
      </c>
      <c r="G257" s="0" t="s">
        <v>22</v>
      </c>
      <c r="H257" s="0" t="s">
        <v>22</v>
      </c>
      <c r="I257" s="164" t="s">
        <v>876</v>
      </c>
    </row>
    <row customHeight="1" ht="11.25">
      <c r="A258" s="164" t="s">
        <v>2270</v>
      </c>
      <c r="B258" s="164" t="s">
        <v>16</v>
      </c>
      <c r="C258" s="164" t="s">
        <v>2456</v>
      </c>
      <c r="D258" s="164" t="s">
        <v>2457</v>
      </c>
      <c r="E258" s="164" t="s">
        <v>2458</v>
      </c>
      <c r="F258" s="164" t="s">
        <v>2459</v>
      </c>
      <c r="G258" s="0" t="s">
        <v>22</v>
      </c>
      <c r="H258" s="0" t="s">
        <v>22</v>
      </c>
      <c r="I258" s="164" t="s">
        <v>876</v>
      </c>
    </row>
    <row customHeight="1" ht="11.25">
      <c r="A259" s="164" t="s">
        <v>2270</v>
      </c>
      <c r="B259" s="164" t="s">
        <v>16</v>
      </c>
      <c r="C259" s="164" t="s">
        <v>2907</v>
      </c>
      <c r="D259" s="164" t="s">
        <v>2908</v>
      </c>
      <c r="E259" s="164" t="s">
        <v>2909</v>
      </c>
      <c r="F259" s="164" t="s">
        <v>2452</v>
      </c>
      <c r="G259" s="0" t="s">
        <v>22</v>
      </c>
      <c r="H259" s="0" t="s">
        <v>22</v>
      </c>
      <c r="I259" s="164" t="s">
        <v>876</v>
      </c>
    </row>
    <row customHeight="1" ht="11.25">
      <c r="A260" s="164" t="s">
        <v>2270</v>
      </c>
      <c r="B260" s="164" t="s">
        <v>16</v>
      </c>
      <c r="C260" s="164" t="s">
        <v>2910</v>
      </c>
      <c r="D260" s="164" t="s">
        <v>2911</v>
      </c>
      <c r="E260" s="164" t="s">
        <v>2912</v>
      </c>
      <c r="F260" s="164" t="s">
        <v>2384</v>
      </c>
      <c r="G260" s="0" t="s">
        <v>22</v>
      </c>
      <c r="H260" s="0" t="s">
        <v>22</v>
      </c>
      <c r="I260" s="164" t="s">
        <v>876</v>
      </c>
    </row>
    <row customHeight="1" ht="11.25">
      <c r="A261" s="164" t="s">
        <v>2270</v>
      </c>
      <c r="B261" s="164" t="s">
        <v>16</v>
      </c>
      <c r="C261" s="164" t="s">
        <v>2460</v>
      </c>
      <c r="D261" s="164" t="s">
        <v>2461</v>
      </c>
      <c r="E261" s="164" t="s">
        <v>2462</v>
      </c>
      <c r="F261" s="164" t="s">
        <v>2463</v>
      </c>
      <c r="G261" s="0" t="s">
        <v>22</v>
      </c>
      <c r="H261" s="0" t="s">
        <v>22</v>
      </c>
      <c r="I261" s="164" t="s">
        <v>876</v>
      </c>
    </row>
    <row customHeight="1" ht="11.25">
      <c r="A262" s="164" t="s">
        <v>2270</v>
      </c>
      <c r="B262" s="164" t="s">
        <v>16</v>
      </c>
      <c r="C262" s="164" t="s">
        <v>2468</v>
      </c>
      <c r="D262" s="164" t="s">
        <v>2469</v>
      </c>
      <c r="E262" s="164" t="s">
        <v>2470</v>
      </c>
      <c r="F262" s="164" t="s">
        <v>2471</v>
      </c>
      <c r="G262" s="0" t="s">
        <v>22</v>
      </c>
      <c r="H262" s="0" t="s">
        <v>22</v>
      </c>
      <c r="I262" s="164" t="s">
        <v>876</v>
      </c>
    </row>
    <row customHeight="1" ht="11.25">
      <c r="A263" s="164" t="s">
        <v>2270</v>
      </c>
      <c r="B263" s="164" t="s">
        <v>16</v>
      </c>
      <c r="C263" s="164" t="s">
        <v>2913</v>
      </c>
      <c r="D263" s="164" t="s">
        <v>2914</v>
      </c>
      <c r="E263" s="164" t="s">
        <v>2915</v>
      </c>
      <c r="F263" s="164" t="s">
        <v>2916</v>
      </c>
      <c r="G263" s="0" t="s">
        <v>22</v>
      </c>
      <c r="H263" s="0" t="s">
        <v>22</v>
      </c>
      <c r="I263" s="164" t="s">
        <v>876</v>
      </c>
    </row>
    <row customHeight="1" ht="11.25">
      <c r="A264" s="164" t="s">
        <v>2270</v>
      </c>
      <c r="B264" s="164" t="s">
        <v>16</v>
      </c>
      <c r="C264" s="164" t="s">
        <v>2917</v>
      </c>
      <c r="D264" s="164" t="s">
        <v>2918</v>
      </c>
      <c r="E264" s="164" t="s">
        <v>2919</v>
      </c>
      <c r="F264" s="164" t="s">
        <v>2392</v>
      </c>
      <c r="G264" s="0" t="s">
        <v>22</v>
      </c>
      <c r="H264" s="0" t="s">
        <v>22</v>
      </c>
      <c r="I264" s="164" t="s">
        <v>876</v>
      </c>
    </row>
    <row customHeight="1" ht="11.25">
      <c r="A265" s="164" t="s">
        <v>2270</v>
      </c>
      <c r="B265" s="164" t="s">
        <v>16</v>
      </c>
      <c r="C265" s="164" t="s">
        <v>2472</v>
      </c>
      <c r="D265" s="164" t="s">
        <v>2473</v>
      </c>
      <c r="E265" s="164" t="s">
        <v>2474</v>
      </c>
      <c r="F265" s="164" t="s">
        <v>2475</v>
      </c>
      <c r="G265" s="0" t="s">
        <v>22</v>
      </c>
      <c r="H265" s="0" t="s">
        <v>22</v>
      </c>
      <c r="I265" s="164" t="s">
        <v>876</v>
      </c>
    </row>
    <row customHeight="1" ht="11.25">
      <c r="A266" s="164" t="s">
        <v>2270</v>
      </c>
      <c r="B266" s="164" t="s">
        <v>16</v>
      </c>
      <c r="C266" s="164" t="s">
        <v>2476</v>
      </c>
      <c r="D266" s="164" t="s">
        <v>2477</v>
      </c>
      <c r="E266" s="164" t="s">
        <v>2478</v>
      </c>
      <c r="F266" s="164" t="s">
        <v>2349</v>
      </c>
      <c r="G266" s="0" t="s">
        <v>22</v>
      </c>
      <c r="H266" s="0" t="s">
        <v>22</v>
      </c>
      <c r="I266" s="164" t="s">
        <v>876</v>
      </c>
    </row>
    <row customHeight="1" ht="11.25">
      <c r="A267" s="164" t="s">
        <v>2270</v>
      </c>
      <c r="B267" s="164" t="s">
        <v>16</v>
      </c>
      <c r="C267" s="164" t="s">
        <v>2920</v>
      </c>
      <c r="D267" s="164" t="s">
        <v>2921</v>
      </c>
      <c r="E267" s="164" t="s">
        <v>2922</v>
      </c>
      <c r="F267" s="164" t="s">
        <v>2401</v>
      </c>
      <c r="G267" s="0" t="s">
        <v>22</v>
      </c>
      <c r="H267" s="0" t="s">
        <v>22</v>
      </c>
      <c r="I267" s="164" t="s">
        <v>876</v>
      </c>
    </row>
    <row customHeight="1" ht="11.25">
      <c r="A268" s="164" t="s">
        <v>2270</v>
      </c>
      <c r="B268" s="164" t="s">
        <v>16</v>
      </c>
      <c r="C268" s="164" t="s">
        <v>2923</v>
      </c>
      <c r="D268" s="164" t="s">
        <v>2924</v>
      </c>
      <c r="E268" s="164" t="s">
        <v>2925</v>
      </c>
      <c r="F268" s="164" t="s">
        <v>2452</v>
      </c>
      <c r="G268" s="0" t="s">
        <v>22</v>
      </c>
      <c r="H268" s="0" t="s">
        <v>22</v>
      </c>
      <c r="I268" s="164" t="s">
        <v>876</v>
      </c>
    </row>
    <row customHeight="1" ht="11.25">
      <c r="A269" s="164" t="s">
        <v>2270</v>
      </c>
      <c r="B269" s="164" t="s">
        <v>16</v>
      </c>
      <c r="C269" s="164" t="s">
        <v>2479</v>
      </c>
      <c r="D269" s="164" t="s">
        <v>2480</v>
      </c>
      <c r="E269" s="164" t="s">
        <v>2481</v>
      </c>
      <c r="F269" s="164" t="s">
        <v>2482</v>
      </c>
      <c r="G269" s="0" t="s">
        <v>22</v>
      </c>
      <c r="H269" s="0" t="s">
        <v>22</v>
      </c>
      <c r="I269" s="164" t="s">
        <v>876</v>
      </c>
    </row>
    <row customHeight="1" ht="11.25">
      <c r="A270" s="164" t="s">
        <v>2270</v>
      </c>
      <c r="B270" s="164" t="s">
        <v>16</v>
      </c>
      <c r="C270" s="164" t="s">
        <v>2926</v>
      </c>
      <c r="D270" s="164" t="s">
        <v>2927</v>
      </c>
      <c r="E270" s="164" t="s">
        <v>2928</v>
      </c>
      <c r="F270" s="164" t="s">
        <v>2319</v>
      </c>
      <c r="G270" s="0" t="s">
        <v>22</v>
      </c>
      <c r="H270" s="0" t="s">
        <v>22</v>
      </c>
      <c r="I270" s="164" t="s">
        <v>876</v>
      </c>
    </row>
    <row customHeight="1" ht="11.25">
      <c r="A271" s="164" t="s">
        <v>2270</v>
      </c>
      <c r="B271" s="164" t="s">
        <v>16</v>
      </c>
      <c r="C271" s="164" t="s">
        <v>2929</v>
      </c>
      <c r="D271" s="164" t="s">
        <v>2930</v>
      </c>
      <c r="E271" s="164" t="s">
        <v>2931</v>
      </c>
      <c r="F271" s="164" t="s">
        <v>2349</v>
      </c>
      <c r="G271" s="0" t="s">
        <v>22</v>
      </c>
      <c r="H271" s="0" t="s">
        <v>22</v>
      </c>
      <c r="I271" s="164" t="s">
        <v>876</v>
      </c>
    </row>
    <row customHeight="1" ht="11.25">
      <c r="A272" s="164" t="s">
        <v>2270</v>
      </c>
      <c r="B272" s="164" t="s">
        <v>16</v>
      </c>
      <c r="C272" s="164" t="s">
        <v>2493</v>
      </c>
      <c r="D272" s="164" t="s">
        <v>2494</v>
      </c>
      <c r="E272" s="164" t="s">
        <v>2495</v>
      </c>
      <c r="F272" s="164" t="s">
        <v>2496</v>
      </c>
      <c r="G272" s="0" t="s">
        <v>22</v>
      </c>
      <c r="H272" s="0" t="s">
        <v>22</v>
      </c>
      <c r="I272" s="164" t="s">
        <v>876</v>
      </c>
    </row>
    <row customHeight="1" ht="11.25">
      <c r="A273" s="164" t="s">
        <v>2270</v>
      </c>
      <c r="B273" s="164" t="s">
        <v>16</v>
      </c>
      <c r="C273" s="164" t="s">
        <v>2497</v>
      </c>
      <c r="D273" s="164" t="s">
        <v>2498</v>
      </c>
      <c r="E273" s="164" t="s">
        <v>2499</v>
      </c>
      <c r="F273" s="164" t="s">
        <v>2500</v>
      </c>
      <c r="G273" s="0" t="s">
        <v>22</v>
      </c>
      <c r="H273" s="0" t="s">
        <v>22</v>
      </c>
      <c r="I273" s="164" t="s">
        <v>876</v>
      </c>
    </row>
    <row customHeight="1" ht="11.25">
      <c r="A274" s="164" t="s">
        <v>2270</v>
      </c>
      <c r="B274" s="164" t="s">
        <v>16</v>
      </c>
      <c r="C274" s="164" t="s">
        <v>2932</v>
      </c>
      <c r="D274" s="164" t="s">
        <v>2933</v>
      </c>
      <c r="E274" s="164" t="s">
        <v>2934</v>
      </c>
      <c r="F274" s="164" t="s">
        <v>2500</v>
      </c>
      <c r="G274" s="0" t="s">
        <v>22</v>
      </c>
      <c r="H274" s="0" t="s">
        <v>22</v>
      </c>
      <c r="I274" s="164" t="s">
        <v>876</v>
      </c>
    </row>
    <row customHeight="1" ht="11.25">
      <c r="A275" s="164" t="s">
        <v>2270</v>
      </c>
      <c r="B275" s="164" t="s">
        <v>16</v>
      </c>
      <c r="C275" s="164" t="s">
        <v>2501</v>
      </c>
      <c r="D275" s="164" t="s">
        <v>2502</v>
      </c>
      <c r="E275" s="164" t="s">
        <v>2503</v>
      </c>
      <c r="F275" s="164" t="s">
        <v>2401</v>
      </c>
      <c r="G275" s="0" t="s">
        <v>22</v>
      </c>
      <c r="H275" s="0" t="s">
        <v>22</v>
      </c>
      <c r="I275" s="164" t="s">
        <v>876</v>
      </c>
    </row>
    <row customHeight="1" ht="11.25">
      <c r="A276" s="164" t="s">
        <v>2270</v>
      </c>
      <c r="B276" s="164" t="s">
        <v>16</v>
      </c>
      <c r="C276" s="164" t="s">
        <v>2504</v>
      </c>
      <c r="D276" s="164" t="s">
        <v>2505</v>
      </c>
      <c r="E276" s="164" t="s">
        <v>2506</v>
      </c>
      <c r="F276" s="164" t="s">
        <v>2357</v>
      </c>
      <c r="G276" s="0" t="s">
        <v>22</v>
      </c>
      <c r="H276" s="0" t="s">
        <v>22</v>
      </c>
      <c r="I276" s="164" t="s">
        <v>876</v>
      </c>
    </row>
    <row customHeight="1" ht="11.25">
      <c r="A277" s="164" t="s">
        <v>2270</v>
      </c>
      <c r="B277" s="164" t="s">
        <v>16</v>
      </c>
      <c r="C277" s="164" t="s">
        <v>2935</v>
      </c>
      <c r="D277" s="164" t="s">
        <v>2936</v>
      </c>
      <c r="E277" s="164" t="s">
        <v>2937</v>
      </c>
      <c r="F277" s="164" t="s">
        <v>2416</v>
      </c>
      <c r="G277" s="0" t="s">
        <v>22</v>
      </c>
      <c r="H277" s="0" t="s">
        <v>22</v>
      </c>
      <c r="I277" s="164" t="s">
        <v>876</v>
      </c>
    </row>
    <row customHeight="1" ht="11.25">
      <c r="A278" s="164" t="s">
        <v>2270</v>
      </c>
      <c r="B278" s="164" t="s">
        <v>16</v>
      </c>
      <c r="C278" s="164" t="s">
        <v>2938</v>
      </c>
      <c r="D278" s="164" t="s">
        <v>2939</v>
      </c>
      <c r="E278" s="164" t="s">
        <v>2940</v>
      </c>
      <c r="F278" s="164" t="s">
        <v>2319</v>
      </c>
      <c r="G278" s="0" t="s">
        <v>22</v>
      </c>
      <c r="H278" s="0" t="s">
        <v>22</v>
      </c>
      <c r="I278" s="164" t="s">
        <v>876</v>
      </c>
    </row>
    <row customHeight="1" ht="11.25">
      <c r="A279" s="164" t="s">
        <v>2270</v>
      </c>
      <c r="B279" s="164" t="s">
        <v>16</v>
      </c>
      <c r="C279" s="164" t="s">
        <v>2941</v>
      </c>
      <c r="D279" s="164" t="s">
        <v>2942</v>
      </c>
      <c r="E279" s="164" t="s">
        <v>2943</v>
      </c>
      <c r="F279" s="164" t="s">
        <v>2349</v>
      </c>
      <c r="G279" s="0" t="s">
        <v>22</v>
      </c>
      <c r="H279" s="0" t="s">
        <v>22</v>
      </c>
      <c r="I279" s="164" t="s">
        <v>876</v>
      </c>
    </row>
    <row customHeight="1" ht="11.25">
      <c r="A280" s="164" t="s">
        <v>2270</v>
      </c>
      <c r="B280" s="164" t="s">
        <v>16</v>
      </c>
      <c r="C280" s="164" t="s">
        <v>2944</v>
      </c>
      <c r="D280" s="164" t="s">
        <v>2945</v>
      </c>
      <c r="E280" s="164" t="s">
        <v>2946</v>
      </c>
      <c r="F280" s="164" t="s">
        <v>2319</v>
      </c>
      <c r="G280" s="0" t="s">
        <v>22</v>
      </c>
      <c r="H280" s="0" t="s">
        <v>22</v>
      </c>
      <c r="I280" s="164" t="s">
        <v>876</v>
      </c>
    </row>
    <row customHeight="1" ht="11.25">
      <c r="A281" s="164" t="s">
        <v>2270</v>
      </c>
      <c r="B281" s="164" t="s">
        <v>16</v>
      </c>
      <c r="C281" s="164" t="s">
        <v>2947</v>
      </c>
      <c r="D281" s="164" t="s">
        <v>2948</v>
      </c>
      <c r="E281" s="164" t="s">
        <v>2949</v>
      </c>
      <c r="F281" s="164" t="s">
        <v>50</v>
      </c>
      <c r="G281" s="0" t="s">
        <v>22</v>
      </c>
      <c r="H281" s="0" t="s">
        <v>22</v>
      </c>
      <c r="I281" s="164" t="s">
        <v>876</v>
      </c>
    </row>
    <row customHeight="1" ht="11.25">
      <c r="A282" s="164" t="s">
        <v>2270</v>
      </c>
      <c r="B282" s="164" t="s">
        <v>16</v>
      </c>
      <c r="C282" s="164" t="s">
        <v>2534</v>
      </c>
      <c r="D282" s="164" t="s">
        <v>2535</v>
      </c>
      <c r="E282" s="164" t="s">
        <v>2536</v>
      </c>
      <c r="F282" s="164" t="s">
        <v>2537</v>
      </c>
      <c r="G282" s="0" t="s">
        <v>22</v>
      </c>
      <c r="H282" s="0" t="s">
        <v>22</v>
      </c>
      <c r="I282" s="164" t="s">
        <v>876</v>
      </c>
    </row>
    <row customHeight="1" ht="11.25">
      <c r="A283" s="164" t="s">
        <v>2270</v>
      </c>
      <c r="B283" s="164" t="s">
        <v>16</v>
      </c>
      <c r="C283" s="164" t="s">
        <v>2950</v>
      </c>
      <c r="D283" s="164" t="s">
        <v>2951</v>
      </c>
      <c r="E283" s="164" t="s">
        <v>2952</v>
      </c>
      <c r="F283" s="164" t="s">
        <v>2537</v>
      </c>
      <c r="G283" s="0" t="s">
        <v>22</v>
      </c>
      <c r="H283" s="0" t="s">
        <v>22</v>
      </c>
      <c r="I283" s="164" t="s">
        <v>876</v>
      </c>
    </row>
    <row customHeight="1" ht="11.25">
      <c r="A284" s="164" t="s">
        <v>2270</v>
      </c>
      <c r="B284" s="164" t="s">
        <v>16</v>
      </c>
      <c r="C284" s="164" t="s">
        <v>2953</v>
      </c>
      <c r="D284" s="164" t="s">
        <v>2954</v>
      </c>
      <c r="E284" s="164" t="s">
        <v>2955</v>
      </c>
      <c r="F284" s="164" t="s">
        <v>2486</v>
      </c>
      <c r="G284" s="0" t="s">
        <v>22</v>
      </c>
      <c r="H284" s="0" t="s">
        <v>22</v>
      </c>
      <c r="I284" s="164" t="s">
        <v>876</v>
      </c>
    </row>
    <row customHeight="1" ht="11.25">
      <c r="A285" s="164" t="s">
        <v>2270</v>
      </c>
      <c r="B285" s="164" t="s">
        <v>16</v>
      </c>
      <c r="C285" s="164" t="s">
        <v>2956</v>
      </c>
      <c r="D285" s="164" t="s">
        <v>2957</v>
      </c>
      <c r="E285" s="164" t="s">
        <v>2958</v>
      </c>
      <c r="F285" s="164" t="s">
        <v>2428</v>
      </c>
      <c r="G285" s="0" t="s">
        <v>22</v>
      </c>
      <c r="H285" s="0" t="s">
        <v>22</v>
      </c>
      <c r="I285" s="164" t="s">
        <v>876</v>
      </c>
    </row>
    <row customHeight="1" ht="11.25">
      <c r="A286" s="164" t="s">
        <v>2270</v>
      </c>
      <c r="B286" s="164" t="s">
        <v>16</v>
      </c>
      <c r="C286" s="164" t="s">
        <v>2959</v>
      </c>
      <c r="D286" s="164" t="s">
        <v>2960</v>
      </c>
      <c r="E286" s="164" t="s">
        <v>2961</v>
      </c>
      <c r="F286" s="164" t="s">
        <v>2319</v>
      </c>
      <c r="G286" s="0" t="s">
        <v>22</v>
      </c>
      <c r="H286" s="0" t="s">
        <v>22</v>
      </c>
      <c r="I286" s="164" t="s">
        <v>876</v>
      </c>
    </row>
    <row customHeight="1" ht="11.25">
      <c r="A287" s="164" t="s">
        <v>2270</v>
      </c>
      <c r="B287" s="164" t="s">
        <v>16</v>
      </c>
      <c r="C287" s="164" t="s">
        <v>2542</v>
      </c>
      <c r="D287" s="164" t="s">
        <v>2543</v>
      </c>
      <c r="E287" s="164" t="s">
        <v>2544</v>
      </c>
      <c r="F287" s="164" t="s">
        <v>2545</v>
      </c>
      <c r="G287" s="0" t="s">
        <v>22</v>
      </c>
      <c r="H287" s="0" t="s">
        <v>22</v>
      </c>
      <c r="I287" s="164" t="s">
        <v>876</v>
      </c>
    </row>
    <row customHeight="1" ht="11.25">
      <c r="A288" s="164" t="s">
        <v>2270</v>
      </c>
      <c r="B288" s="164" t="s">
        <v>16</v>
      </c>
      <c r="C288" s="164" t="s">
        <v>2549</v>
      </c>
      <c r="D288" s="164" t="s">
        <v>2550</v>
      </c>
      <c r="E288" s="164" t="s">
        <v>2551</v>
      </c>
      <c r="F288" s="164" t="s">
        <v>2552</v>
      </c>
      <c r="G288" s="0" t="s">
        <v>22</v>
      </c>
      <c r="H288" s="0" t="s">
        <v>22</v>
      </c>
      <c r="I288" s="164" t="s">
        <v>876</v>
      </c>
    </row>
    <row customHeight="1" ht="11.25">
      <c r="A289" s="164" t="s">
        <v>2270</v>
      </c>
      <c r="B289" s="164" t="s">
        <v>16</v>
      </c>
      <c r="C289" s="164" t="s">
        <v>2570</v>
      </c>
      <c r="D289" s="164" t="s">
        <v>2571</v>
      </c>
      <c r="E289" s="164" t="s">
        <v>2572</v>
      </c>
      <c r="F289" s="164" t="s">
        <v>2357</v>
      </c>
      <c r="G289" s="164" t="s">
        <v>2573</v>
      </c>
      <c r="H289" s="164" t="s">
        <v>2574</v>
      </c>
      <c r="I289" s="164" t="s">
        <v>876</v>
      </c>
    </row>
    <row customHeight="1" ht="11.25">
      <c r="A290" s="164" t="s">
        <v>2270</v>
      </c>
      <c r="B290" s="164" t="s">
        <v>16</v>
      </c>
      <c r="C290" s="164" t="s">
        <v>2962</v>
      </c>
      <c r="D290" s="164" t="s">
        <v>2963</v>
      </c>
      <c r="E290" s="164" t="s">
        <v>2964</v>
      </c>
      <c r="F290" s="164" t="s">
        <v>2416</v>
      </c>
      <c r="G290" s="0" t="s">
        <v>22</v>
      </c>
      <c r="H290" s="0" t="s">
        <v>22</v>
      </c>
      <c r="I290" s="164" t="s">
        <v>876</v>
      </c>
    </row>
    <row customHeight="1" ht="11.25">
      <c r="A291" s="164" t="s">
        <v>2270</v>
      </c>
      <c r="B291" s="164" t="s">
        <v>16</v>
      </c>
      <c r="C291" s="164" t="s">
        <v>2965</v>
      </c>
      <c r="D291" s="164" t="s">
        <v>2966</v>
      </c>
      <c r="E291" s="164" t="s">
        <v>2967</v>
      </c>
      <c r="F291" s="164" t="s">
        <v>2406</v>
      </c>
      <c r="G291" s="0" t="s">
        <v>22</v>
      </c>
      <c r="H291" s="0" t="s">
        <v>22</v>
      </c>
      <c r="I291" s="164" t="s">
        <v>876</v>
      </c>
    </row>
    <row customHeight="1" ht="11.25">
      <c r="A292" s="164" t="s">
        <v>2270</v>
      </c>
      <c r="B292" s="164" t="s">
        <v>16</v>
      </c>
      <c r="C292" s="164" t="s">
        <v>2968</v>
      </c>
      <c r="D292" s="164" t="s">
        <v>2969</v>
      </c>
      <c r="E292" s="164" t="s">
        <v>2970</v>
      </c>
      <c r="F292" s="164" t="s">
        <v>2971</v>
      </c>
      <c r="G292" s="0" t="s">
        <v>22</v>
      </c>
      <c r="H292" s="0" t="s">
        <v>22</v>
      </c>
      <c r="I292" s="164" t="s">
        <v>876</v>
      </c>
    </row>
    <row customHeight="1" ht="11.25">
      <c r="A293" s="164" t="s">
        <v>2270</v>
      </c>
      <c r="B293" s="164" t="s">
        <v>16</v>
      </c>
      <c r="C293" s="164" t="s">
        <v>2584</v>
      </c>
      <c r="D293" s="164" t="s">
        <v>2585</v>
      </c>
      <c r="E293" s="164" t="s">
        <v>2586</v>
      </c>
      <c r="F293" s="164" t="s">
        <v>2587</v>
      </c>
      <c r="G293" s="0" t="s">
        <v>22</v>
      </c>
      <c r="H293" s="0" t="s">
        <v>22</v>
      </c>
      <c r="I293" s="164" t="s">
        <v>876</v>
      </c>
    </row>
    <row customHeight="1" ht="11.25">
      <c r="A294" s="164" t="s">
        <v>2270</v>
      </c>
      <c r="B294" s="164" t="s">
        <v>16</v>
      </c>
      <c r="C294" s="164" t="s">
        <v>2972</v>
      </c>
      <c r="D294" s="164" t="s">
        <v>2973</v>
      </c>
      <c r="E294" s="164" t="s">
        <v>2974</v>
      </c>
      <c r="F294" s="164" t="s">
        <v>2345</v>
      </c>
      <c r="G294" s="164" t="s">
        <v>2975</v>
      </c>
      <c r="H294" s="0" t="s">
        <v>22</v>
      </c>
      <c r="I294" s="164" t="s">
        <v>876</v>
      </c>
    </row>
    <row customHeight="1" ht="11.25">
      <c r="A295" s="164" t="s">
        <v>2270</v>
      </c>
      <c r="B295" s="164" t="s">
        <v>16</v>
      </c>
      <c r="C295" s="164" t="s">
        <v>2976</v>
      </c>
      <c r="D295" s="164" t="s">
        <v>2977</v>
      </c>
      <c r="E295" s="164" t="s">
        <v>2978</v>
      </c>
      <c r="F295" s="164" t="s">
        <v>2286</v>
      </c>
      <c r="G295" s="0" t="s">
        <v>22</v>
      </c>
      <c r="H295" s="0" t="s">
        <v>22</v>
      </c>
      <c r="I295" s="164" t="s">
        <v>876</v>
      </c>
    </row>
    <row customHeight="1" ht="11.25">
      <c r="A296" s="164" t="s">
        <v>2270</v>
      </c>
      <c r="B296" s="164" t="s">
        <v>16</v>
      </c>
      <c r="C296" s="164" t="s">
        <v>2979</v>
      </c>
      <c r="D296" s="164" t="s">
        <v>2980</v>
      </c>
      <c r="E296" s="164" t="s">
        <v>2981</v>
      </c>
      <c r="F296" s="164" t="s">
        <v>2441</v>
      </c>
      <c r="G296" s="0" t="s">
        <v>22</v>
      </c>
      <c r="H296" s="0" t="s">
        <v>22</v>
      </c>
      <c r="I296" s="164" t="s">
        <v>876</v>
      </c>
    </row>
    <row customHeight="1" ht="11.25">
      <c r="A297" s="164" t="s">
        <v>2270</v>
      </c>
      <c r="B297" s="164" t="s">
        <v>16</v>
      </c>
      <c r="C297" s="164" t="s">
        <v>2982</v>
      </c>
      <c r="D297" s="164" t="s">
        <v>2983</v>
      </c>
      <c r="E297" s="164" t="s">
        <v>2984</v>
      </c>
      <c r="F297" s="164" t="s">
        <v>2319</v>
      </c>
      <c r="G297" s="0" t="s">
        <v>22</v>
      </c>
      <c r="H297" s="0" t="s">
        <v>22</v>
      </c>
      <c r="I297" s="164" t="s">
        <v>876</v>
      </c>
    </row>
    <row customHeight="1" ht="11.25">
      <c r="A298" s="164" t="s">
        <v>2270</v>
      </c>
      <c r="B298" s="164" t="s">
        <v>16</v>
      </c>
      <c r="C298" s="164" t="s">
        <v>2985</v>
      </c>
      <c r="D298" s="164" t="s">
        <v>2986</v>
      </c>
      <c r="E298" s="164" t="s">
        <v>2987</v>
      </c>
      <c r="F298" s="164" t="s">
        <v>2319</v>
      </c>
      <c r="G298" s="0" t="s">
        <v>22</v>
      </c>
      <c r="H298" s="0" t="s">
        <v>22</v>
      </c>
      <c r="I298" s="164" t="s">
        <v>876</v>
      </c>
    </row>
    <row customHeight="1" ht="11.25">
      <c r="A299" s="164" t="s">
        <v>2270</v>
      </c>
      <c r="B299" s="164" t="s">
        <v>16</v>
      </c>
      <c r="C299" s="164" t="s">
        <v>2988</v>
      </c>
      <c r="D299" s="164" t="s">
        <v>2989</v>
      </c>
      <c r="E299" s="164" t="s">
        <v>2990</v>
      </c>
      <c r="F299" s="164" t="s">
        <v>2401</v>
      </c>
      <c r="G299" s="0" t="s">
        <v>22</v>
      </c>
      <c r="H299" s="0" t="s">
        <v>22</v>
      </c>
      <c r="I299" s="164" t="s">
        <v>876</v>
      </c>
    </row>
    <row customHeight="1" ht="11.25">
      <c r="A300" s="164" t="s">
        <v>2270</v>
      </c>
      <c r="B300" s="164" t="s">
        <v>16</v>
      </c>
      <c r="C300" s="164" t="s">
        <v>2632</v>
      </c>
      <c r="D300" s="164" t="s">
        <v>2633</v>
      </c>
      <c r="E300" s="164" t="s">
        <v>2634</v>
      </c>
      <c r="F300" s="164" t="s">
        <v>50</v>
      </c>
      <c r="G300" s="0" t="s">
        <v>22</v>
      </c>
      <c r="H300" s="0" t="s">
        <v>22</v>
      </c>
      <c r="I300" s="164" t="s">
        <v>876</v>
      </c>
    </row>
    <row customHeight="1" ht="11.25">
      <c r="A301" s="164" t="s">
        <v>2270</v>
      </c>
      <c r="B301" s="164" t="s">
        <v>16</v>
      </c>
      <c r="C301" s="164" t="s">
        <v>2638</v>
      </c>
      <c r="D301" s="164" t="s">
        <v>2639</v>
      </c>
      <c r="E301" s="164" t="s">
        <v>2640</v>
      </c>
      <c r="F301" s="164" t="s">
        <v>2641</v>
      </c>
      <c r="G301" s="0" t="s">
        <v>22</v>
      </c>
      <c r="H301" s="0" t="s">
        <v>22</v>
      </c>
      <c r="I301" s="164" t="s">
        <v>876</v>
      </c>
    </row>
    <row customHeight="1" ht="11.25">
      <c r="A302" s="164" t="s">
        <v>2270</v>
      </c>
      <c r="B302" s="164" t="s">
        <v>16</v>
      </c>
      <c r="C302" s="164" t="s">
        <v>2991</v>
      </c>
      <c r="D302" s="164" t="s">
        <v>2639</v>
      </c>
      <c r="E302" s="164" t="s">
        <v>2992</v>
      </c>
      <c r="F302" s="164" t="s">
        <v>2437</v>
      </c>
      <c r="G302" s="164" t="s">
        <v>2993</v>
      </c>
      <c r="H302" s="0" t="s">
        <v>22</v>
      </c>
      <c r="I302" s="164" t="s">
        <v>876</v>
      </c>
    </row>
    <row customHeight="1" ht="11.25">
      <c r="A303" s="164" t="s">
        <v>2270</v>
      </c>
      <c r="B303" s="164" t="s">
        <v>16</v>
      </c>
      <c r="C303" s="164" t="s">
        <v>2642</v>
      </c>
      <c r="D303" s="164" t="s">
        <v>2643</v>
      </c>
      <c r="E303" s="164" t="s">
        <v>2644</v>
      </c>
      <c r="F303" s="164" t="s">
        <v>2452</v>
      </c>
      <c r="G303" s="0" t="s">
        <v>22</v>
      </c>
      <c r="H303" s="0" t="s">
        <v>22</v>
      </c>
      <c r="I303" s="164" t="s">
        <v>876</v>
      </c>
    </row>
    <row customHeight="1" ht="11.25">
      <c r="A304" s="164" t="s">
        <v>2270</v>
      </c>
      <c r="B304" s="164" t="s">
        <v>16</v>
      </c>
      <c r="C304" s="164" t="s">
        <v>2667</v>
      </c>
      <c r="D304" s="164" t="s">
        <v>2668</v>
      </c>
      <c r="E304" s="164" t="s">
        <v>2669</v>
      </c>
      <c r="F304" s="164" t="s">
        <v>2482</v>
      </c>
      <c r="G304" s="0" t="s">
        <v>22</v>
      </c>
      <c r="H304" s="0" t="s">
        <v>22</v>
      </c>
      <c r="I304" s="164" t="s">
        <v>876</v>
      </c>
    </row>
    <row customHeight="1" ht="11.25">
      <c r="A305" s="164" t="s">
        <v>2270</v>
      </c>
      <c r="B305" s="164" t="s">
        <v>16</v>
      </c>
      <c r="C305" s="164" t="s">
        <v>2994</v>
      </c>
      <c r="D305" s="164" t="s">
        <v>2995</v>
      </c>
      <c r="E305" s="164" t="s">
        <v>2996</v>
      </c>
      <c r="F305" s="164" t="s">
        <v>2997</v>
      </c>
      <c r="G305" s="164" t="s">
        <v>2998</v>
      </c>
      <c r="H305" s="0" t="s">
        <v>22</v>
      </c>
      <c r="I305" s="164" t="s">
        <v>876</v>
      </c>
    </row>
    <row customHeight="1" ht="11.25">
      <c r="A306" s="164" t="s">
        <v>2270</v>
      </c>
      <c r="B306" s="164" t="s">
        <v>16</v>
      </c>
      <c r="C306" s="164" t="s">
        <v>2999</v>
      </c>
      <c r="D306" s="164" t="s">
        <v>3000</v>
      </c>
      <c r="E306" s="164" t="s">
        <v>3001</v>
      </c>
      <c r="F306" s="164" t="s">
        <v>2433</v>
      </c>
      <c r="G306" s="0" t="s">
        <v>22</v>
      </c>
      <c r="H306" s="164" t="s">
        <v>3002</v>
      </c>
      <c r="I306" s="164" t="s">
        <v>876</v>
      </c>
    </row>
    <row customHeight="1" ht="11.25">
      <c r="A307" s="164" t="s">
        <v>2270</v>
      </c>
      <c r="B307" s="164" t="s">
        <v>16</v>
      </c>
      <c r="C307" s="164" t="s">
        <v>3003</v>
      </c>
      <c r="D307" s="164" t="s">
        <v>3004</v>
      </c>
      <c r="E307" s="164" t="s">
        <v>3005</v>
      </c>
      <c r="F307" s="164" t="s">
        <v>2315</v>
      </c>
      <c r="G307" s="0" t="s">
        <v>22</v>
      </c>
      <c r="H307" s="0" t="s">
        <v>22</v>
      </c>
      <c r="I307" s="164" t="s">
        <v>876</v>
      </c>
    </row>
    <row customHeight="1" ht="11.25">
      <c r="A308" s="164" t="s">
        <v>2270</v>
      </c>
      <c r="B308" s="164" t="s">
        <v>16</v>
      </c>
      <c r="C308" s="164" t="s">
        <v>3006</v>
      </c>
      <c r="D308" s="164" t="s">
        <v>3007</v>
      </c>
      <c r="E308" s="164" t="s">
        <v>3008</v>
      </c>
      <c r="F308" s="164" t="s">
        <v>2401</v>
      </c>
      <c r="G308" s="0" t="s">
        <v>22</v>
      </c>
      <c r="H308" s="0" t="s">
        <v>22</v>
      </c>
      <c r="I308" s="164" t="s">
        <v>876</v>
      </c>
    </row>
    <row customHeight="1" ht="11.25">
      <c r="A309" s="164" t="s">
        <v>2270</v>
      </c>
      <c r="B309" s="164" t="s">
        <v>16</v>
      </c>
      <c r="C309" s="164" t="s">
        <v>3009</v>
      </c>
      <c r="D309" s="164" t="s">
        <v>3010</v>
      </c>
      <c r="E309" s="164" t="s">
        <v>3011</v>
      </c>
      <c r="F309" s="164" t="s">
        <v>2401</v>
      </c>
      <c r="G309" s="0" t="s">
        <v>22</v>
      </c>
      <c r="H309" s="0" t="s">
        <v>22</v>
      </c>
      <c r="I309" s="164" t="s">
        <v>876</v>
      </c>
    </row>
    <row customHeight="1" ht="11.25">
      <c r="A310" s="164" t="s">
        <v>2270</v>
      </c>
      <c r="B310" s="164" t="s">
        <v>16</v>
      </c>
      <c r="C310" s="164" t="s">
        <v>3012</v>
      </c>
      <c r="D310" s="164" t="s">
        <v>3013</v>
      </c>
      <c r="E310" s="164" t="s">
        <v>3014</v>
      </c>
      <c r="F310" s="164" t="s">
        <v>2463</v>
      </c>
      <c r="G310" s="0" t="s">
        <v>22</v>
      </c>
      <c r="H310" s="0" t="s">
        <v>22</v>
      </c>
      <c r="I310" s="164" t="s">
        <v>876</v>
      </c>
    </row>
    <row customHeight="1" ht="11.25">
      <c r="A311" s="164" t="s">
        <v>2270</v>
      </c>
      <c r="B311" s="164" t="s">
        <v>16</v>
      </c>
      <c r="C311" s="164" t="s">
        <v>3015</v>
      </c>
      <c r="D311" s="164" t="s">
        <v>3016</v>
      </c>
      <c r="E311" s="164" t="s">
        <v>3017</v>
      </c>
      <c r="F311" s="164" t="s">
        <v>2319</v>
      </c>
      <c r="G311" s="0" t="s">
        <v>22</v>
      </c>
      <c r="H311" s="0" t="s">
        <v>22</v>
      </c>
      <c r="I311" s="164" t="s">
        <v>876</v>
      </c>
    </row>
    <row customHeight="1" ht="11.25">
      <c r="A312" s="164" t="s">
        <v>2270</v>
      </c>
      <c r="B312" s="164" t="s">
        <v>16</v>
      </c>
      <c r="C312" s="164" t="s">
        <v>2745</v>
      </c>
      <c r="D312" s="164" t="s">
        <v>2746</v>
      </c>
      <c r="E312" s="164" t="s">
        <v>2747</v>
      </c>
      <c r="F312" s="164" t="s">
        <v>2349</v>
      </c>
      <c r="G312" s="0" t="s">
        <v>22</v>
      </c>
      <c r="H312" s="0" t="s">
        <v>22</v>
      </c>
      <c r="I312" s="164" t="s">
        <v>876</v>
      </c>
    </row>
    <row customHeight="1" ht="11.25">
      <c r="A313" s="164" t="s">
        <v>2270</v>
      </c>
      <c r="B313" s="164" t="s">
        <v>16</v>
      </c>
      <c r="C313" s="164" t="s">
        <v>3018</v>
      </c>
      <c r="D313" s="164" t="s">
        <v>3019</v>
      </c>
      <c r="E313" s="164" t="s">
        <v>3020</v>
      </c>
      <c r="F313" s="164" t="s">
        <v>3021</v>
      </c>
      <c r="G313" s="0" t="s">
        <v>22</v>
      </c>
      <c r="H313" s="0" t="s">
        <v>22</v>
      </c>
      <c r="I313" s="164" t="s">
        <v>876</v>
      </c>
    </row>
    <row customHeight="1" ht="11.25">
      <c r="A314" s="164" t="s">
        <v>2270</v>
      </c>
      <c r="B314" s="164" t="s">
        <v>16</v>
      </c>
      <c r="C314" s="164" t="s">
        <v>3022</v>
      </c>
      <c r="D314" s="164" t="s">
        <v>3023</v>
      </c>
      <c r="E314" s="164" t="s">
        <v>3024</v>
      </c>
      <c r="F314" s="164" t="s">
        <v>2463</v>
      </c>
      <c r="G314" s="0" t="s">
        <v>22</v>
      </c>
      <c r="H314" s="0" t="s">
        <v>22</v>
      </c>
      <c r="I314" s="164" t="s">
        <v>876</v>
      </c>
    </row>
    <row customHeight="1" ht="11.25">
      <c r="A315" s="164" t="s">
        <v>2270</v>
      </c>
      <c r="B315" s="164" t="s">
        <v>16</v>
      </c>
      <c r="C315" s="164" t="s">
        <v>3025</v>
      </c>
      <c r="D315" s="164" t="s">
        <v>3026</v>
      </c>
      <c r="E315" s="164" t="s">
        <v>3027</v>
      </c>
      <c r="F315" s="164" t="s">
        <v>2424</v>
      </c>
      <c r="G315" s="0" t="s">
        <v>22</v>
      </c>
      <c r="H315" s="0" t="s">
        <v>22</v>
      </c>
      <c r="I315" s="164" t="s">
        <v>876</v>
      </c>
    </row>
    <row customHeight="1" ht="11.25">
      <c r="A316" s="164" t="s">
        <v>2270</v>
      </c>
      <c r="B316" s="164" t="s">
        <v>16</v>
      </c>
      <c r="C316" s="164" t="s">
        <v>3028</v>
      </c>
      <c r="D316" s="164" t="s">
        <v>3029</v>
      </c>
      <c r="E316" s="164" t="s">
        <v>3030</v>
      </c>
      <c r="F316" s="164" t="s">
        <v>3031</v>
      </c>
      <c r="G316" s="0" t="s">
        <v>22</v>
      </c>
      <c r="H316" s="0" t="s">
        <v>22</v>
      </c>
      <c r="I316" s="164" t="s">
        <v>876</v>
      </c>
    </row>
    <row customHeight="1" ht="11.25">
      <c r="A317" s="164" t="s">
        <v>2270</v>
      </c>
      <c r="B317" s="164" t="s">
        <v>16</v>
      </c>
      <c r="C317" s="164" t="s">
        <v>3032</v>
      </c>
      <c r="D317" s="164" t="s">
        <v>3033</v>
      </c>
      <c r="E317" s="164" t="s">
        <v>3034</v>
      </c>
      <c r="F317" s="164" t="s">
        <v>2406</v>
      </c>
      <c r="G317" s="0" t="s">
        <v>22</v>
      </c>
      <c r="H317" s="0" t="s">
        <v>22</v>
      </c>
      <c r="I317" s="164" t="s">
        <v>876</v>
      </c>
    </row>
    <row customHeight="1" ht="11.25">
      <c r="A318" s="164" t="s">
        <v>2270</v>
      </c>
      <c r="B318" s="164" t="s">
        <v>16</v>
      </c>
      <c r="C318" s="164" t="s">
        <v>3035</v>
      </c>
      <c r="D318" s="164" t="s">
        <v>3036</v>
      </c>
      <c r="E318" s="164" t="s">
        <v>3037</v>
      </c>
      <c r="F318" s="164" t="s">
        <v>2463</v>
      </c>
      <c r="G318" s="0" t="s">
        <v>22</v>
      </c>
      <c r="H318" s="0" t="s">
        <v>22</v>
      </c>
      <c r="I318" s="164" t="s">
        <v>876</v>
      </c>
    </row>
    <row customHeight="1" ht="11.25">
      <c r="A319" s="164" t="s">
        <v>2270</v>
      </c>
      <c r="B319" s="164" t="s">
        <v>16</v>
      </c>
      <c r="C319" s="164" t="s">
        <v>3038</v>
      </c>
      <c r="D319" s="164" t="s">
        <v>3039</v>
      </c>
      <c r="E319" s="164" t="s">
        <v>3040</v>
      </c>
      <c r="F319" s="164" t="s">
        <v>2406</v>
      </c>
      <c r="G319" s="0" t="s">
        <v>22</v>
      </c>
      <c r="H319" s="0" t="s">
        <v>22</v>
      </c>
      <c r="I319" s="164" t="s">
        <v>876</v>
      </c>
    </row>
    <row customHeight="1" ht="11.25">
      <c r="A320" s="164" t="s">
        <v>2270</v>
      </c>
      <c r="B320" s="164" t="s">
        <v>16</v>
      </c>
      <c r="C320" s="164" t="s">
        <v>3041</v>
      </c>
      <c r="D320" s="164" t="s">
        <v>3042</v>
      </c>
      <c r="E320" s="164" t="s">
        <v>3043</v>
      </c>
      <c r="F320" s="164" t="s">
        <v>2345</v>
      </c>
      <c r="G320" s="0" t="s">
        <v>22</v>
      </c>
      <c r="H320" s="0" t="s">
        <v>22</v>
      </c>
      <c r="I320" s="164" t="s">
        <v>876</v>
      </c>
    </row>
    <row customHeight="1" ht="11.25">
      <c r="A321" s="164" t="s">
        <v>2270</v>
      </c>
      <c r="B321" s="164" t="s">
        <v>16</v>
      </c>
      <c r="C321" s="164" t="s">
        <v>3044</v>
      </c>
      <c r="D321" s="164" t="s">
        <v>3045</v>
      </c>
      <c r="E321" s="164" t="s">
        <v>3046</v>
      </c>
      <c r="F321" s="164" t="s">
        <v>2345</v>
      </c>
      <c r="G321" s="0" t="s">
        <v>22</v>
      </c>
      <c r="H321" s="0" t="s">
        <v>22</v>
      </c>
      <c r="I321" s="164" t="s">
        <v>876</v>
      </c>
    </row>
    <row customHeight="1" ht="11.25">
      <c r="A322" s="164" t="s">
        <v>2270</v>
      </c>
      <c r="B322" s="164" t="s">
        <v>16</v>
      </c>
      <c r="C322" s="164" t="s">
        <v>3047</v>
      </c>
      <c r="D322" s="164" t="s">
        <v>3048</v>
      </c>
      <c r="E322" s="164" t="s">
        <v>3049</v>
      </c>
      <c r="F322" s="164" t="s">
        <v>2345</v>
      </c>
      <c r="G322" s="0" t="s">
        <v>22</v>
      </c>
      <c r="H322" s="0" t="s">
        <v>22</v>
      </c>
      <c r="I322" s="164" t="s">
        <v>876</v>
      </c>
    </row>
    <row customHeight="1" ht="11.25">
      <c r="A323" s="164" t="s">
        <v>2270</v>
      </c>
      <c r="B323" s="164" t="s">
        <v>16</v>
      </c>
      <c r="C323" s="164" t="s">
        <v>3050</v>
      </c>
      <c r="D323" s="164" t="s">
        <v>3051</v>
      </c>
      <c r="E323" s="164" t="s">
        <v>3052</v>
      </c>
      <c r="F323" s="164" t="s">
        <v>2345</v>
      </c>
      <c r="G323" s="0" t="s">
        <v>22</v>
      </c>
      <c r="H323" s="0" t="s">
        <v>22</v>
      </c>
      <c r="I323" s="164" t="s">
        <v>876</v>
      </c>
    </row>
    <row customHeight="1" ht="11.25">
      <c r="A324" s="164" t="s">
        <v>2270</v>
      </c>
      <c r="B324" s="164" t="s">
        <v>16</v>
      </c>
      <c r="C324" s="164" t="s">
        <v>3053</v>
      </c>
      <c r="D324" s="164" t="s">
        <v>3054</v>
      </c>
      <c r="E324" s="164" t="s">
        <v>3055</v>
      </c>
      <c r="F324" s="164" t="s">
        <v>2345</v>
      </c>
      <c r="G324" s="0" t="s">
        <v>22</v>
      </c>
      <c r="H324" s="0" t="s">
        <v>22</v>
      </c>
      <c r="I324" s="164" t="s">
        <v>876</v>
      </c>
    </row>
    <row customHeight="1" ht="11.25">
      <c r="A325" s="164" t="s">
        <v>2270</v>
      </c>
      <c r="B325" s="164" t="s">
        <v>16</v>
      </c>
      <c r="C325" s="164" t="s">
        <v>3056</v>
      </c>
      <c r="D325" s="164" t="s">
        <v>3057</v>
      </c>
      <c r="E325" s="164" t="s">
        <v>3058</v>
      </c>
      <c r="F325" s="164" t="s">
        <v>3059</v>
      </c>
      <c r="G325" s="0" t="s">
        <v>22</v>
      </c>
      <c r="H325" s="0" t="s">
        <v>22</v>
      </c>
      <c r="I325" s="164" t="s">
        <v>876</v>
      </c>
    </row>
    <row customHeight="1" ht="11.25">
      <c r="A326" s="164" t="s">
        <v>2270</v>
      </c>
      <c r="B326" s="164" t="s">
        <v>16</v>
      </c>
      <c r="C326" s="164" t="s">
        <v>3060</v>
      </c>
      <c r="D326" s="164" t="s">
        <v>3061</v>
      </c>
      <c r="E326" s="164" t="s">
        <v>3062</v>
      </c>
      <c r="F326" s="164" t="s">
        <v>2345</v>
      </c>
      <c r="G326" s="0" t="s">
        <v>22</v>
      </c>
      <c r="H326" s="0" t="s">
        <v>22</v>
      </c>
      <c r="I326" s="164" t="s">
        <v>876</v>
      </c>
    </row>
    <row customHeight="1" ht="11.25">
      <c r="A327" s="164" t="s">
        <v>2270</v>
      </c>
      <c r="B327" s="164" t="s">
        <v>16</v>
      </c>
      <c r="C327" s="164" t="s">
        <v>3063</v>
      </c>
      <c r="D327" s="164" t="s">
        <v>3064</v>
      </c>
      <c r="E327" s="164" t="s">
        <v>3065</v>
      </c>
      <c r="F327" s="164" t="s">
        <v>2345</v>
      </c>
      <c r="G327" s="0" t="s">
        <v>22</v>
      </c>
      <c r="H327" s="0" t="s">
        <v>22</v>
      </c>
      <c r="I327" s="164" t="s">
        <v>876</v>
      </c>
    </row>
    <row customHeight="1" ht="11.25">
      <c r="A328" s="164" t="s">
        <v>2270</v>
      </c>
      <c r="B328" s="164" t="s">
        <v>16</v>
      </c>
      <c r="C328" s="164" t="s">
        <v>3066</v>
      </c>
      <c r="D328" s="164" t="s">
        <v>3067</v>
      </c>
      <c r="E328" s="164" t="s">
        <v>3068</v>
      </c>
      <c r="F328" s="164" t="s">
        <v>2345</v>
      </c>
      <c r="G328" s="0" t="s">
        <v>22</v>
      </c>
      <c r="H328" s="0" t="s">
        <v>22</v>
      </c>
      <c r="I328" s="164" t="s">
        <v>876</v>
      </c>
    </row>
    <row customHeight="1" ht="11.25">
      <c r="A329" s="164" t="s">
        <v>2270</v>
      </c>
      <c r="B329" s="164" t="s">
        <v>16</v>
      </c>
      <c r="C329" s="164" t="s">
        <v>3069</v>
      </c>
      <c r="D329" s="164" t="s">
        <v>3070</v>
      </c>
      <c r="E329" s="164" t="s">
        <v>3071</v>
      </c>
      <c r="F329" s="164" t="s">
        <v>2463</v>
      </c>
      <c r="G329" s="0" t="s">
        <v>22</v>
      </c>
      <c r="H329" s="0" t="s">
        <v>22</v>
      </c>
      <c r="I329" s="164" t="s">
        <v>876</v>
      </c>
    </row>
    <row customHeight="1" ht="11.25">
      <c r="A330" s="164" t="s">
        <v>2270</v>
      </c>
      <c r="B330" s="164" t="s">
        <v>16</v>
      </c>
      <c r="C330" s="164" t="s">
        <v>3072</v>
      </c>
      <c r="D330" s="164" t="s">
        <v>3073</v>
      </c>
      <c r="E330" s="164" t="s">
        <v>3074</v>
      </c>
      <c r="F330" s="164" t="s">
        <v>3031</v>
      </c>
      <c r="G330" s="0" t="s">
        <v>22</v>
      </c>
      <c r="H330" s="0" t="s">
        <v>22</v>
      </c>
      <c r="I330" s="164" t="s">
        <v>876</v>
      </c>
    </row>
    <row customHeight="1" ht="11.25">
      <c r="A331" s="164" t="s">
        <v>2270</v>
      </c>
      <c r="B331" s="164" t="s">
        <v>16</v>
      </c>
      <c r="C331" s="164" t="s">
        <v>3075</v>
      </c>
      <c r="D331" s="164" t="s">
        <v>3076</v>
      </c>
      <c r="E331" s="164" t="s">
        <v>2825</v>
      </c>
      <c r="F331" s="164" t="s">
        <v>3077</v>
      </c>
      <c r="G331" s="0" t="s">
        <v>22</v>
      </c>
      <c r="H331" s="0" t="s">
        <v>22</v>
      </c>
      <c r="I331" s="164" t="s">
        <v>876</v>
      </c>
    </row>
    <row customHeight="1" ht="11.25">
      <c r="A332" s="164" t="s">
        <v>2270</v>
      </c>
      <c r="B332" s="164" t="s">
        <v>16</v>
      </c>
      <c r="C332" s="164" t="s">
        <v>3078</v>
      </c>
      <c r="D332" s="164" t="s">
        <v>3079</v>
      </c>
      <c r="E332" s="164" t="s">
        <v>3080</v>
      </c>
      <c r="F332" s="164" t="s">
        <v>2406</v>
      </c>
      <c r="G332" s="0" t="s">
        <v>22</v>
      </c>
      <c r="H332" s="0" t="s">
        <v>22</v>
      </c>
      <c r="I332" s="164" t="s">
        <v>876</v>
      </c>
    </row>
    <row customHeight="1" ht="11.25">
      <c r="A333" s="164" t="s">
        <v>2270</v>
      </c>
      <c r="B333" s="164" t="s">
        <v>16</v>
      </c>
      <c r="C333" s="164" t="s">
        <v>3081</v>
      </c>
      <c r="D333" s="164" t="s">
        <v>3082</v>
      </c>
      <c r="E333" s="164" t="s">
        <v>2838</v>
      </c>
      <c r="F333" s="164" t="s">
        <v>3083</v>
      </c>
      <c r="G333" s="0" t="s">
        <v>22</v>
      </c>
      <c r="H333" s="0" t="s">
        <v>22</v>
      </c>
      <c r="I333" s="164" t="s">
        <v>876</v>
      </c>
    </row>
    <row customHeight="1" ht="11.25">
      <c r="A334" s="164" t="s">
        <v>2270</v>
      </c>
      <c r="B334" s="164" t="s">
        <v>16</v>
      </c>
      <c r="C334" s="164" t="s">
        <v>2776</v>
      </c>
      <c r="D334" s="164" t="s">
        <v>2777</v>
      </c>
      <c r="E334" s="164" t="s">
        <v>2778</v>
      </c>
      <c r="F334" s="164" t="s">
        <v>2779</v>
      </c>
      <c r="G334" s="0" t="s">
        <v>22</v>
      </c>
      <c r="H334" s="0" t="s">
        <v>22</v>
      </c>
      <c r="I334" s="164" t="s">
        <v>876</v>
      </c>
    </row>
    <row customHeight="1" ht="11.25">
      <c r="A335" s="164" t="s">
        <v>2270</v>
      </c>
      <c r="B335" s="164" t="s">
        <v>16</v>
      </c>
      <c r="C335" s="164" t="s">
        <v>2806</v>
      </c>
      <c r="D335" s="164" t="s">
        <v>2807</v>
      </c>
      <c r="E335" s="164" t="s">
        <v>2778</v>
      </c>
      <c r="F335" s="164" t="s">
        <v>2545</v>
      </c>
      <c r="G335" s="0" t="s">
        <v>22</v>
      </c>
      <c r="H335" s="0" t="s">
        <v>22</v>
      </c>
      <c r="I335" s="164" t="s">
        <v>876</v>
      </c>
    </row>
    <row customHeight="1" ht="11.25">
      <c r="A336" s="164" t="s">
        <v>2270</v>
      </c>
      <c r="B336" s="164" t="s">
        <v>16</v>
      </c>
      <c r="C336" s="164" t="s">
        <v>2784</v>
      </c>
      <c r="D336" s="164" t="s">
        <v>2785</v>
      </c>
      <c r="E336" s="164" t="s">
        <v>2786</v>
      </c>
      <c r="F336" s="164" t="s">
        <v>2337</v>
      </c>
      <c r="G336" s="0" t="s">
        <v>22</v>
      </c>
      <c r="H336" s="0" t="s">
        <v>22</v>
      </c>
      <c r="I336" s="164" t="s">
        <v>876</v>
      </c>
    </row>
    <row customHeight="1" ht="11.25">
      <c r="A337" s="164" t="s">
        <v>2270</v>
      </c>
      <c r="B337" s="164" t="s">
        <v>16</v>
      </c>
      <c r="C337" s="164" t="s">
        <v>3084</v>
      </c>
      <c r="D337" s="164" t="s">
        <v>3085</v>
      </c>
      <c r="E337" s="164" t="s">
        <v>2838</v>
      </c>
      <c r="F337" s="164" t="s">
        <v>3086</v>
      </c>
      <c r="G337" s="0" t="s">
        <v>22</v>
      </c>
      <c r="H337" s="0" t="s">
        <v>22</v>
      </c>
      <c r="I337" s="164" t="s">
        <v>876</v>
      </c>
    </row>
    <row customHeight="1" ht="11.25">
      <c r="A338" s="164" t="s">
        <v>2270</v>
      </c>
      <c r="B338" s="164" t="s">
        <v>16</v>
      </c>
      <c r="C338" s="164" t="s">
        <v>3087</v>
      </c>
      <c r="D338" s="164" t="s">
        <v>3088</v>
      </c>
      <c r="E338" s="164" t="s">
        <v>2838</v>
      </c>
      <c r="F338" s="164" t="s">
        <v>3089</v>
      </c>
      <c r="G338" s="0" t="s">
        <v>22</v>
      </c>
      <c r="H338" s="0" t="s">
        <v>22</v>
      </c>
      <c r="I338" s="164" t="s">
        <v>876</v>
      </c>
    </row>
    <row customHeight="1" ht="11.25">
      <c r="A339" s="164" t="s">
        <v>2270</v>
      </c>
      <c r="B339" s="164" t="s">
        <v>16</v>
      </c>
      <c r="C339" s="164" t="s">
        <v>3090</v>
      </c>
      <c r="D339" s="164" t="s">
        <v>3091</v>
      </c>
      <c r="E339" s="164" t="s">
        <v>2838</v>
      </c>
      <c r="F339" s="164" t="s">
        <v>3092</v>
      </c>
      <c r="G339" s="0" t="s">
        <v>22</v>
      </c>
      <c r="H339" s="0" t="s">
        <v>22</v>
      </c>
      <c r="I339" s="164" t="s">
        <v>876</v>
      </c>
    </row>
    <row customHeight="1" ht="11.25">
      <c r="A340" s="164" t="s">
        <v>2270</v>
      </c>
      <c r="B340" s="164" t="s">
        <v>16</v>
      </c>
      <c r="C340" s="164" t="s">
        <v>3093</v>
      </c>
      <c r="D340" s="164" t="s">
        <v>3094</v>
      </c>
      <c r="E340" s="164" t="s">
        <v>2838</v>
      </c>
      <c r="F340" s="164" t="s">
        <v>3095</v>
      </c>
      <c r="G340" s="0" t="s">
        <v>22</v>
      </c>
      <c r="H340" s="0" t="s">
        <v>22</v>
      </c>
      <c r="I340" s="164" t="s">
        <v>876</v>
      </c>
    </row>
    <row customHeight="1" ht="11.25">
      <c r="A341" s="164" t="s">
        <v>2270</v>
      </c>
      <c r="B341" s="164" t="s">
        <v>16</v>
      </c>
      <c r="C341" s="164" t="s">
        <v>3096</v>
      </c>
      <c r="D341" s="164" t="s">
        <v>3097</v>
      </c>
      <c r="E341" s="164" t="s">
        <v>2838</v>
      </c>
      <c r="F341" s="164" t="s">
        <v>3098</v>
      </c>
      <c r="G341" s="0" t="s">
        <v>22</v>
      </c>
      <c r="H341" s="0" t="s">
        <v>22</v>
      </c>
      <c r="I341" s="164" t="s">
        <v>876</v>
      </c>
    </row>
    <row customHeight="1" ht="11.25">
      <c r="A342" s="164" t="s">
        <v>2270</v>
      </c>
      <c r="B342" s="164" t="s">
        <v>16</v>
      </c>
      <c r="C342" s="164" t="s">
        <v>3099</v>
      </c>
      <c r="D342" s="164" t="s">
        <v>3100</v>
      </c>
      <c r="E342" s="164" t="s">
        <v>2838</v>
      </c>
      <c r="F342" s="164" t="s">
        <v>3101</v>
      </c>
      <c r="G342" s="0" t="s">
        <v>22</v>
      </c>
      <c r="H342" s="0" t="s">
        <v>22</v>
      </c>
      <c r="I342" s="164" t="s">
        <v>876</v>
      </c>
    </row>
    <row customHeight="1" ht="11.25">
      <c r="A343" s="164" t="s">
        <v>2270</v>
      </c>
      <c r="B343" s="164" t="s">
        <v>16</v>
      </c>
      <c r="C343" s="164" t="s">
        <v>3102</v>
      </c>
      <c r="D343" s="164" t="s">
        <v>3103</v>
      </c>
      <c r="E343" s="164" t="s">
        <v>2838</v>
      </c>
      <c r="F343" s="164" t="s">
        <v>3104</v>
      </c>
      <c r="G343" s="0" t="s">
        <v>22</v>
      </c>
      <c r="H343" s="0" t="s">
        <v>22</v>
      </c>
      <c r="I343" s="164" t="s">
        <v>876</v>
      </c>
    </row>
    <row customHeight="1" ht="11.25">
      <c r="A344" s="164" t="s">
        <v>2270</v>
      </c>
      <c r="B344" s="164" t="s">
        <v>16</v>
      </c>
      <c r="C344" s="164" t="s">
        <v>3105</v>
      </c>
      <c r="D344" s="164" t="s">
        <v>3106</v>
      </c>
      <c r="E344" s="164" t="s">
        <v>2838</v>
      </c>
      <c r="F344" s="164" t="s">
        <v>3107</v>
      </c>
      <c r="G344" s="0" t="s">
        <v>22</v>
      </c>
      <c r="H344" s="0" t="s">
        <v>22</v>
      </c>
      <c r="I344" s="164" t="s">
        <v>876</v>
      </c>
    </row>
    <row customHeight="1" ht="11.25">
      <c r="A345" s="164" t="s">
        <v>2270</v>
      </c>
      <c r="B345" s="164" t="s">
        <v>16</v>
      </c>
      <c r="C345" s="164" t="s">
        <v>3108</v>
      </c>
      <c r="D345" s="164" t="s">
        <v>3109</v>
      </c>
      <c r="E345" s="164" t="s">
        <v>2838</v>
      </c>
      <c r="F345" s="164" t="s">
        <v>3110</v>
      </c>
      <c r="G345" s="0" t="s">
        <v>22</v>
      </c>
      <c r="H345" s="0" t="s">
        <v>22</v>
      </c>
      <c r="I345" s="164" t="s">
        <v>876</v>
      </c>
    </row>
    <row customHeight="1" ht="11.25">
      <c r="A346" s="164" t="s">
        <v>2270</v>
      </c>
      <c r="B346" s="164" t="s">
        <v>16</v>
      </c>
      <c r="C346" s="164" t="s">
        <v>3111</v>
      </c>
      <c r="D346" s="164" t="s">
        <v>3112</v>
      </c>
      <c r="E346" s="164" t="s">
        <v>2838</v>
      </c>
      <c r="F346" s="164" t="s">
        <v>3113</v>
      </c>
      <c r="G346" s="0" t="s">
        <v>22</v>
      </c>
      <c r="H346" s="0" t="s">
        <v>22</v>
      </c>
      <c r="I346" s="164" t="s">
        <v>876</v>
      </c>
    </row>
    <row customHeight="1" ht="11.25">
      <c r="A347" s="164" t="s">
        <v>2270</v>
      </c>
      <c r="B347" s="164" t="s">
        <v>16</v>
      </c>
      <c r="C347" s="164" t="s">
        <v>3114</v>
      </c>
      <c r="D347" s="164" t="s">
        <v>3115</v>
      </c>
      <c r="E347" s="164" t="s">
        <v>2838</v>
      </c>
      <c r="F347" s="164" t="s">
        <v>3116</v>
      </c>
      <c r="G347" s="0" t="s">
        <v>22</v>
      </c>
      <c r="H347" s="0" t="s">
        <v>22</v>
      </c>
      <c r="I347" s="164" t="s">
        <v>876</v>
      </c>
    </row>
    <row customHeight="1" ht="11.25">
      <c r="A348" s="164" t="s">
        <v>2270</v>
      </c>
      <c r="B348" s="164" t="s">
        <v>16</v>
      </c>
      <c r="C348" s="164" t="s">
        <v>3117</v>
      </c>
      <c r="D348" s="164" t="s">
        <v>3118</v>
      </c>
      <c r="E348" s="164" t="s">
        <v>2838</v>
      </c>
      <c r="F348" s="164" t="s">
        <v>3119</v>
      </c>
      <c r="G348" s="0" t="s">
        <v>22</v>
      </c>
      <c r="H348" s="0" t="s">
        <v>22</v>
      </c>
      <c r="I348" s="164" t="s">
        <v>876</v>
      </c>
    </row>
    <row customHeight="1" ht="11.25">
      <c r="A349" s="164" t="s">
        <v>2270</v>
      </c>
      <c r="B349" s="164" t="s">
        <v>16</v>
      </c>
      <c r="C349" s="164" t="s">
        <v>3120</v>
      </c>
      <c r="D349" s="164" t="s">
        <v>3121</v>
      </c>
      <c r="E349" s="164" t="s">
        <v>2838</v>
      </c>
      <c r="F349" s="164" t="s">
        <v>3122</v>
      </c>
      <c r="G349" s="0" t="s">
        <v>22</v>
      </c>
      <c r="H349" s="0" t="s">
        <v>22</v>
      </c>
      <c r="I349" s="164" t="s">
        <v>876</v>
      </c>
    </row>
    <row customHeight="1" ht="11.25">
      <c r="A350" s="164" t="s">
        <v>2270</v>
      </c>
      <c r="B350" s="164" t="s">
        <v>16</v>
      </c>
      <c r="C350" s="164" t="s">
        <v>3123</v>
      </c>
      <c r="D350" s="164" t="s">
        <v>3124</v>
      </c>
      <c r="E350" s="164" t="s">
        <v>2544</v>
      </c>
      <c r="F350" s="164" t="s">
        <v>3125</v>
      </c>
      <c r="G350" s="0" t="s">
        <v>22</v>
      </c>
      <c r="H350" s="0" t="s">
        <v>22</v>
      </c>
      <c r="I350" s="164" t="s">
        <v>876</v>
      </c>
    </row>
    <row customHeight="1" ht="11.25">
      <c r="A351" s="164" t="s">
        <v>2270</v>
      </c>
      <c r="B351" s="164" t="s">
        <v>16</v>
      </c>
      <c r="C351" s="164" t="s">
        <v>2787</v>
      </c>
      <c r="D351" s="164" t="s">
        <v>2788</v>
      </c>
      <c r="E351" s="164" t="s">
        <v>2551</v>
      </c>
      <c r="F351" s="164" t="s">
        <v>2789</v>
      </c>
      <c r="G351" s="0" t="s">
        <v>22</v>
      </c>
      <c r="H351" s="0" t="s">
        <v>22</v>
      </c>
      <c r="I351" s="164" t="s">
        <v>876</v>
      </c>
    </row>
    <row customHeight="1" ht="11.25">
      <c r="A352" s="164" t="s">
        <v>2270</v>
      </c>
      <c r="B352" s="164" t="s">
        <v>16</v>
      </c>
      <c r="C352" s="164" t="s">
        <v>2790</v>
      </c>
      <c r="D352" s="164" t="s">
        <v>2791</v>
      </c>
      <c r="E352" s="164" t="s">
        <v>2551</v>
      </c>
      <c r="F352" s="164" t="s">
        <v>2792</v>
      </c>
      <c r="G352" s="0" t="s">
        <v>22</v>
      </c>
      <c r="H352" s="0" t="s">
        <v>22</v>
      </c>
      <c r="I352" s="164" t="s">
        <v>876</v>
      </c>
    </row>
    <row customHeight="1" ht="11.25">
      <c r="A353" s="164" t="s">
        <v>2270</v>
      </c>
      <c r="B353" s="164" t="s">
        <v>16</v>
      </c>
      <c r="C353" s="164" t="s">
        <v>2793</v>
      </c>
      <c r="D353" s="164" t="s">
        <v>2794</v>
      </c>
      <c r="E353" s="164" t="s">
        <v>2551</v>
      </c>
      <c r="F353" s="164" t="s">
        <v>2795</v>
      </c>
      <c r="G353" s="0" t="s">
        <v>22</v>
      </c>
      <c r="H353" s="0" t="s">
        <v>22</v>
      </c>
      <c r="I353" s="164" t="s">
        <v>876</v>
      </c>
    </row>
    <row customHeight="1" ht="11.25">
      <c r="A354" s="164" t="s">
        <v>2270</v>
      </c>
      <c r="B354" s="164" t="s">
        <v>16</v>
      </c>
      <c r="C354" s="164" t="s">
        <v>2796</v>
      </c>
      <c r="D354" s="164" t="s">
        <v>2797</v>
      </c>
      <c r="E354" s="164" t="s">
        <v>2798</v>
      </c>
      <c r="F354" s="164" t="s">
        <v>2799</v>
      </c>
      <c r="G354" s="0" t="s">
        <v>22</v>
      </c>
      <c r="H354" s="0" t="s">
        <v>22</v>
      </c>
      <c r="I354" s="164" t="s">
        <v>876</v>
      </c>
    </row>
    <row customHeight="1" ht="11.25">
      <c r="A355" s="164" t="s">
        <v>2270</v>
      </c>
      <c r="B355" s="164" t="s">
        <v>16</v>
      </c>
      <c r="C355" s="164" t="s">
        <v>3126</v>
      </c>
      <c r="D355" s="164" t="s">
        <v>3127</v>
      </c>
      <c r="E355" s="164" t="s">
        <v>3128</v>
      </c>
      <c r="F355" s="164" t="s">
        <v>2437</v>
      </c>
      <c r="G355" s="0" t="s">
        <v>22</v>
      </c>
      <c r="H355" s="0" t="s">
        <v>22</v>
      </c>
      <c r="I355" s="164" t="s">
        <v>876</v>
      </c>
    </row>
    <row customHeight="1" ht="11.25">
      <c r="A356" s="164" t="s">
        <v>2270</v>
      </c>
      <c r="B356" s="164" t="s">
        <v>16</v>
      </c>
      <c r="C356" s="164" t="s">
        <v>2803</v>
      </c>
      <c r="D356" s="164" t="s">
        <v>2804</v>
      </c>
      <c r="E356" s="164" t="s">
        <v>2360</v>
      </c>
      <c r="F356" s="164" t="s">
        <v>2805</v>
      </c>
      <c r="G356" s="0" t="s">
        <v>22</v>
      </c>
      <c r="H356" s="0" t="s">
        <v>22</v>
      </c>
      <c r="I356" s="164" t="s">
        <v>876</v>
      </c>
    </row>
    <row customHeight="1" ht="11.25">
      <c r="A357" s="164" t="s">
        <v>2270</v>
      </c>
      <c r="B357" s="164" t="s">
        <v>16</v>
      </c>
      <c r="C357" s="164" t="s">
        <v>2808</v>
      </c>
      <c r="D357" s="164" t="s">
        <v>2809</v>
      </c>
      <c r="E357" s="164" t="s">
        <v>2778</v>
      </c>
      <c r="F357" s="164" t="s">
        <v>2810</v>
      </c>
      <c r="G357" s="0" t="s">
        <v>22</v>
      </c>
      <c r="H357" s="0" t="s">
        <v>22</v>
      </c>
      <c r="I357" s="164" t="s">
        <v>876</v>
      </c>
    </row>
    <row customHeight="1" ht="11.25">
      <c r="A358" s="164" t="s">
        <v>2270</v>
      </c>
      <c r="B358" s="164" t="s">
        <v>16</v>
      </c>
      <c r="C358" s="164" t="s">
        <v>2811</v>
      </c>
      <c r="D358" s="164" t="s">
        <v>2812</v>
      </c>
      <c r="E358" s="164" t="s">
        <v>2778</v>
      </c>
      <c r="F358" s="164" t="s">
        <v>2813</v>
      </c>
      <c r="G358" s="0" t="s">
        <v>22</v>
      </c>
      <c r="H358" s="0" t="s">
        <v>22</v>
      </c>
      <c r="I358" s="164" t="s">
        <v>876</v>
      </c>
    </row>
    <row customHeight="1" ht="11.25">
      <c r="A359" s="164" t="s">
        <v>2270</v>
      </c>
      <c r="B359" s="164" t="s">
        <v>16</v>
      </c>
      <c r="C359" s="164" t="s">
        <v>3129</v>
      </c>
      <c r="D359" s="164" t="s">
        <v>3130</v>
      </c>
      <c r="E359" s="164" t="s">
        <v>3131</v>
      </c>
      <c r="F359" s="164" t="s">
        <v>2311</v>
      </c>
      <c r="G359" s="0" t="s">
        <v>22</v>
      </c>
      <c r="H359" s="0" t="s">
        <v>22</v>
      </c>
      <c r="I359" s="164" t="s">
        <v>930</v>
      </c>
    </row>
    <row customHeight="1" ht="11.25">
      <c r="A360" s="164" t="s">
        <v>2270</v>
      </c>
      <c r="B360" s="164" t="s">
        <v>16</v>
      </c>
      <c r="C360" s="164" t="s">
        <v>2279</v>
      </c>
      <c r="D360" s="164" t="s">
        <v>2280</v>
      </c>
      <c r="E360" s="164" t="s">
        <v>2281</v>
      </c>
      <c r="F360" s="164" t="s">
        <v>2282</v>
      </c>
      <c r="G360" s="0" t="s">
        <v>22</v>
      </c>
      <c r="H360" s="0" t="s">
        <v>22</v>
      </c>
      <c r="I360" s="164" t="s">
        <v>930</v>
      </c>
    </row>
    <row customHeight="1" ht="11.25">
      <c r="A361" s="164" t="s">
        <v>2270</v>
      </c>
      <c r="B361" s="164" t="s">
        <v>16</v>
      </c>
      <c r="C361" s="164" t="s">
        <v>2283</v>
      </c>
      <c r="D361" s="164" t="s">
        <v>2284</v>
      </c>
      <c r="E361" s="164" t="s">
        <v>2285</v>
      </c>
      <c r="F361" s="164" t="s">
        <v>2286</v>
      </c>
      <c r="G361" s="0" t="s">
        <v>22</v>
      </c>
      <c r="H361" s="0" t="s">
        <v>22</v>
      </c>
      <c r="I361" s="164" t="s">
        <v>930</v>
      </c>
    </row>
    <row customHeight="1" ht="11.25">
      <c r="A362" s="164" t="s">
        <v>2270</v>
      </c>
      <c r="B362" s="164" t="s">
        <v>16</v>
      </c>
      <c r="C362" s="164" t="s">
        <v>2814</v>
      </c>
      <c r="D362" s="164" t="s">
        <v>2815</v>
      </c>
      <c r="E362" s="164" t="s">
        <v>2816</v>
      </c>
      <c r="F362" s="164" t="s">
        <v>2441</v>
      </c>
      <c r="G362" s="0" t="s">
        <v>22</v>
      </c>
      <c r="H362" s="0" t="s">
        <v>22</v>
      </c>
      <c r="I362" s="164" t="s">
        <v>930</v>
      </c>
    </row>
    <row customHeight="1" ht="11.25">
      <c r="A363" s="164" t="s">
        <v>2270</v>
      </c>
      <c r="B363" s="164" t="s">
        <v>16</v>
      </c>
      <c r="C363" s="164" t="s">
        <v>2300</v>
      </c>
      <c r="D363" s="164" t="s">
        <v>2301</v>
      </c>
      <c r="E363" s="164" t="s">
        <v>2302</v>
      </c>
      <c r="F363" s="164" t="s">
        <v>2303</v>
      </c>
      <c r="G363" s="0" t="s">
        <v>22</v>
      </c>
      <c r="H363" s="0" t="s">
        <v>22</v>
      </c>
      <c r="I363" s="164" t="s">
        <v>930</v>
      </c>
    </row>
    <row customHeight="1" ht="11.25">
      <c r="A364" s="164" t="s">
        <v>2270</v>
      </c>
      <c r="B364" s="164" t="s">
        <v>16</v>
      </c>
      <c r="C364" s="164" t="s">
        <v>2308</v>
      </c>
      <c r="D364" s="164" t="s">
        <v>2309</v>
      </c>
      <c r="E364" s="164" t="s">
        <v>2310</v>
      </c>
      <c r="F364" s="164" t="s">
        <v>2311</v>
      </c>
      <c r="G364" s="0" t="s">
        <v>22</v>
      </c>
      <c r="H364" s="0" t="s">
        <v>22</v>
      </c>
      <c r="I364" s="164" t="s">
        <v>930</v>
      </c>
    </row>
    <row customHeight="1" ht="11.25">
      <c r="A365" s="164" t="s">
        <v>2270</v>
      </c>
      <c r="B365" s="164" t="s">
        <v>16</v>
      </c>
      <c r="C365" s="164" t="s">
        <v>2328</v>
      </c>
      <c r="D365" s="164" t="s">
        <v>2329</v>
      </c>
      <c r="E365" s="164" t="s">
        <v>2306</v>
      </c>
      <c r="F365" s="164" t="s">
        <v>2330</v>
      </c>
      <c r="G365" s="0" t="s">
        <v>22</v>
      </c>
      <c r="H365" s="0" t="s">
        <v>22</v>
      </c>
      <c r="I365" s="164" t="s">
        <v>930</v>
      </c>
    </row>
    <row customHeight="1" ht="11.25">
      <c r="A366" s="164" t="s">
        <v>2270</v>
      </c>
      <c r="B366" s="164" t="s">
        <v>16</v>
      </c>
      <c r="C366" s="164" t="s">
        <v>2820</v>
      </c>
      <c r="D366" s="164" t="s">
        <v>2821</v>
      </c>
      <c r="E366" s="164" t="s">
        <v>2822</v>
      </c>
      <c r="F366" s="164" t="s">
        <v>2319</v>
      </c>
      <c r="G366" s="0" t="s">
        <v>22</v>
      </c>
      <c r="H366" s="0" t="s">
        <v>22</v>
      </c>
      <c r="I366" s="164" t="s">
        <v>930</v>
      </c>
    </row>
    <row customHeight="1" ht="11.25">
      <c r="A367" s="164" t="s">
        <v>2270</v>
      </c>
      <c r="B367" s="164" t="s">
        <v>16</v>
      </c>
      <c r="C367" s="164" t="s">
        <v>2823</v>
      </c>
      <c r="D367" s="164" t="s">
        <v>2824</v>
      </c>
      <c r="E367" s="164" t="s">
        <v>2825</v>
      </c>
      <c r="F367" s="164" t="s">
        <v>2826</v>
      </c>
      <c r="G367" s="0" t="s">
        <v>22</v>
      </c>
      <c r="H367" s="0" t="s">
        <v>22</v>
      </c>
      <c r="I367" s="164" t="s">
        <v>930</v>
      </c>
    </row>
    <row customHeight="1" ht="11.25">
      <c r="A368" s="164" t="s">
        <v>2270</v>
      </c>
      <c r="B368" s="164" t="s">
        <v>16</v>
      </c>
      <c r="C368" s="164" t="s">
        <v>2342</v>
      </c>
      <c r="D368" s="164" t="s">
        <v>2343</v>
      </c>
      <c r="E368" s="164" t="s">
        <v>2344</v>
      </c>
      <c r="F368" s="164" t="s">
        <v>2345</v>
      </c>
      <c r="G368" s="0" t="s">
        <v>22</v>
      </c>
      <c r="H368" s="0" t="s">
        <v>22</v>
      </c>
      <c r="I368" s="164" t="s">
        <v>930</v>
      </c>
    </row>
    <row customHeight="1" ht="11.25">
      <c r="A369" s="164" t="s">
        <v>2270</v>
      </c>
      <c r="B369" s="164" t="s">
        <v>16</v>
      </c>
      <c r="C369" s="164" t="s">
        <v>2832</v>
      </c>
      <c r="D369" s="164" t="s">
        <v>2833</v>
      </c>
      <c r="E369" s="164" t="s">
        <v>2834</v>
      </c>
      <c r="F369" s="164" t="s">
        <v>2433</v>
      </c>
      <c r="G369" s="164" t="s">
        <v>2835</v>
      </c>
      <c r="H369" s="0" t="s">
        <v>22</v>
      </c>
      <c r="I369" s="164" t="s">
        <v>930</v>
      </c>
    </row>
    <row customHeight="1" ht="11.25">
      <c r="A370" s="164" t="s">
        <v>2270</v>
      </c>
      <c r="B370" s="164" t="s">
        <v>16</v>
      </c>
      <c r="C370" s="164" t="s">
        <v>2346</v>
      </c>
      <c r="D370" s="164" t="s">
        <v>2347</v>
      </c>
      <c r="E370" s="164" t="s">
        <v>2348</v>
      </c>
      <c r="F370" s="164" t="s">
        <v>2349</v>
      </c>
      <c r="G370" s="0" t="s">
        <v>22</v>
      </c>
      <c r="H370" s="0" t="s">
        <v>22</v>
      </c>
      <c r="I370" s="164" t="s">
        <v>930</v>
      </c>
    </row>
    <row customHeight="1" ht="11.25">
      <c r="A371" s="164" t="s">
        <v>2270</v>
      </c>
      <c r="B371" s="164" t="s">
        <v>16</v>
      </c>
      <c r="C371" s="164" t="s">
        <v>2836</v>
      </c>
      <c r="D371" s="164" t="s">
        <v>2837</v>
      </c>
      <c r="E371" s="164" t="s">
        <v>2838</v>
      </c>
      <c r="F371" s="164" t="s">
        <v>2357</v>
      </c>
      <c r="G371" s="0" t="s">
        <v>22</v>
      </c>
      <c r="H371" s="0" t="s">
        <v>22</v>
      </c>
      <c r="I371" s="164" t="s">
        <v>930</v>
      </c>
    </row>
    <row customHeight="1" ht="11.25">
      <c r="A372" s="164" t="s">
        <v>2270</v>
      </c>
      <c r="B372" s="164" t="s">
        <v>16</v>
      </c>
      <c r="C372" s="164" t="s">
        <v>2358</v>
      </c>
      <c r="D372" s="164" t="s">
        <v>2359</v>
      </c>
      <c r="E372" s="164" t="s">
        <v>2360</v>
      </c>
      <c r="F372" s="164" t="s">
        <v>2361</v>
      </c>
      <c r="G372" s="0" t="s">
        <v>22</v>
      </c>
      <c r="H372" s="0" t="s">
        <v>22</v>
      </c>
      <c r="I372" s="164" t="s">
        <v>930</v>
      </c>
    </row>
    <row customHeight="1" ht="11.25">
      <c r="A373" s="164" t="s">
        <v>2270</v>
      </c>
      <c r="B373" s="164" t="s">
        <v>16</v>
      </c>
      <c r="C373" s="164" t="s">
        <v>2864</v>
      </c>
      <c r="D373" s="164" t="s">
        <v>2865</v>
      </c>
      <c r="E373" s="164" t="s">
        <v>2866</v>
      </c>
      <c r="F373" s="164" t="s">
        <v>2384</v>
      </c>
      <c r="G373" s="0" t="s">
        <v>22</v>
      </c>
      <c r="H373" s="0" t="s">
        <v>22</v>
      </c>
      <c r="I373" s="164" t="s">
        <v>930</v>
      </c>
    </row>
    <row customHeight="1" ht="11.25">
      <c r="A374" s="164" t="s">
        <v>2270</v>
      </c>
      <c r="B374" s="164" t="s">
        <v>16</v>
      </c>
      <c r="C374" s="5774" t="s">
        <v>22</v>
      </c>
      <c r="D374" s="164" t="s">
        <v>2375</v>
      </c>
      <c r="E374" s="164" t="s">
        <v>2376</v>
      </c>
      <c r="F374" s="164" t="s">
        <v>2353</v>
      </c>
      <c r="G374" s="0" t="s">
        <v>22</v>
      </c>
      <c r="H374" s="0" t="s">
        <v>22</v>
      </c>
      <c r="I374" s="164" t="s">
        <v>930</v>
      </c>
    </row>
    <row customHeight="1" ht="11.25">
      <c r="A375" s="164" t="s">
        <v>2270</v>
      </c>
      <c r="B375" s="164" t="s">
        <v>16</v>
      </c>
      <c r="C375" s="164" t="s">
        <v>3132</v>
      </c>
      <c r="D375" s="164" t="s">
        <v>3133</v>
      </c>
      <c r="E375" s="164" t="s">
        <v>3134</v>
      </c>
      <c r="F375" s="164" t="s">
        <v>2406</v>
      </c>
      <c r="G375" s="0" t="s">
        <v>22</v>
      </c>
      <c r="H375" s="0" t="s">
        <v>22</v>
      </c>
      <c r="I375" s="164" t="s">
        <v>930</v>
      </c>
    </row>
    <row customHeight="1" ht="11.25">
      <c r="A376" s="164" t="s">
        <v>2270</v>
      </c>
      <c r="B376" s="164" t="s">
        <v>16</v>
      </c>
      <c r="C376" s="164" t="s">
        <v>2870</v>
      </c>
      <c r="D376" s="164" t="s">
        <v>2871</v>
      </c>
      <c r="E376" s="164" t="s">
        <v>2872</v>
      </c>
      <c r="F376" s="164" t="s">
        <v>2441</v>
      </c>
      <c r="G376" s="164" t="s">
        <v>2873</v>
      </c>
      <c r="H376" s="0" t="s">
        <v>22</v>
      </c>
      <c r="I376" s="164" t="s">
        <v>930</v>
      </c>
    </row>
    <row customHeight="1" ht="11.25">
      <c r="A377" s="164" t="s">
        <v>2270</v>
      </c>
      <c r="B377" s="164" t="s">
        <v>16</v>
      </c>
      <c r="C377" s="164" t="s">
        <v>2389</v>
      </c>
      <c r="D377" s="164" t="s">
        <v>2390</v>
      </c>
      <c r="E377" s="164" t="s">
        <v>2391</v>
      </c>
      <c r="F377" s="164" t="s">
        <v>2392</v>
      </c>
      <c r="G377" s="164" t="s">
        <v>2393</v>
      </c>
      <c r="H377" s="0" t="s">
        <v>22</v>
      </c>
      <c r="I377" s="164" t="s">
        <v>930</v>
      </c>
    </row>
    <row customHeight="1" ht="11.25">
      <c r="A378" s="164" t="s">
        <v>2270</v>
      </c>
      <c r="B378" s="164" t="s">
        <v>16</v>
      </c>
      <c r="C378" s="164" t="s">
        <v>2398</v>
      </c>
      <c r="D378" s="164" t="s">
        <v>2399</v>
      </c>
      <c r="E378" s="164" t="s">
        <v>2400</v>
      </c>
      <c r="F378" s="164" t="s">
        <v>2401</v>
      </c>
      <c r="G378" s="164" t="s">
        <v>2402</v>
      </c>
      <c r="H378" s="0" t="s">
        <v>22</v>
      </c>
      <c r="I378" s="164" t="s">
        <v>930</v>
      </c>
    </row>
    <row customHeight="1" ht="11.25">
      <c r="A379" s="164" t="s">
        <v>2270</v>
      </c>
      <c r="B379" s="164" t="s">
        <v>16</v>
      </c>
      <c r="C379" s="164" t="s">
        <v>2881</v>
      </c>
      <c r="D379" s="164" t="s">
        <v>2882</v>
      </c>
      <c r="E379" s="164" t="s">
        <v>2883</v>
      </c>
      <c r="F379" s="164" t="s">
        <v>2345</v>
      </c>
      <c r="G379" s="164" t="s">
        <v>2884</v>
      </c>
      <c r="H379" s="0" t="s">
        <v>22</v>
      </c>
      <c r="I379" s="164" t="s">
        <v>930</v>
      </c>
    </row>
    <row customHeight="1" ht="11.25">
      <c r="A380" s="164" t="s">
        <v>2270</v>
      </c>
      <c r="B380" s="164" t="s">
        <v>16</v>
      </c>
      <c r="C380" s="164" t="s">
        <v>2434</v>
      </c>
      <c r="D380" s="164" t="s">
        <v>2435</v>
      </c>
      <c r="E380" s="164" t="s">
        <v>2436</v>
      </c>
      <c r="F380" s="164" t="s">
        <v>2437</v>
      </c>
      <c r="G380" s="0" t="s">
        <v>22</v>
      </c>
      <c r="H380" s="0" t="s">
        <v>22</v>
      </c>
      <c r="I380" s="164" t="s">
        <v>930</v>
      </c>
    </row>
    <row customHeight="1" ht="11.25">
      <c r="A381" s="164" t="s">
        <v>2270</v>
      </c>
      <c r="B381" s="164" t="s">
        <v>16</v>
      </c>
      <c r="C381" s="164" t="s">
        <v>2888</v>
      </c>
      <c r="D381" s="164" t="s">
        <v>2889</v>
      </c>
      <c r="E381" s="164" t="s">
        <v>2890</v>
      </c>
      <c r="F381" s="164" t="s">
        <v>2533</v>
      </c>
      <c r="G381" s="164" t="s">
        <v>2873</v>
      </c>
      <c r="H381" s="0" t="s">
        <v>22</v>
      </c>
      <c r="I381" s="164" t="s">
        <v>930</v>
      </c>
    </row>
    <row customHeight="1" ht="11.25">
      <c r="A382" s="164" t="s">
        <v>2270</v>
      </c>
      <c r="B382" s="164" t="s">
        <v>16</v>
      </c>
      <c r="C382" s="164" t="s">
        <v>2438</v>
      </c>
      <c r="D382" s="164" t="s">
        <v>2439</v>
      </c>
      <c r="E382" s="164" t="s">
        <v>2440</v>
      </c>
      <c r="F382" s="164" t="s">
        <v>2441</v>
      </c>
      <c r="G382" s="0" t="s">
        <v>22</v>
      </c>
      <c r="H382" s="0" t="s">
        <v>22</v>
      </c>
      <c r="I382" s="164" t="s">
        <v>930</v>
      </c>
    </row>
    <row customHeight="1" ht="11.25">
      <c r="A383" s="164" t="s">
        <v>2270</v>
      </c>
      <c r="B383" s="164" t="s">
        <v>16</v>
      </c>
      <c r="C383" s="164" t="s">
        <v>3135</v>
      </c>
      <c r="D383" s="164" t="s">
        <v>3136</v>
      </c>
      <c r="E383" s="164" t="s">
        <v>3137</v>
      </c>
      <c r="F383" s="164" t="s">
        <v>2406</v>
      </c>
      <c r="G383" s="0" t="s">
        <v>22</v>
      </c>
      <c r="H383" s="0" t="s">
        <v>22</v>
      </c>
      <c r="I383" s="164" t="s">
        <v>930</v>
      </c>
    </row>
    <row customHeight="1" ht="11.25">
      <c r="A384" s="164" t="s">
        <v>2270</v>
      </c>
      <c r="B384" s="164" t="s">
        <v>16</v>
      </c>
      <c r="C384" s="164" t="s">
        <v>2895</v>
      </c>
      <c r="D384" s="164" t="s">
        <v>2896</v>
      </c>
      <c r="E384" s="164" t="s">
        <v>2897</v>
      </c>
      <c r="F384" s="164" t="s">
        <v>2757</v>
      </c>
      <c r="G384" s="0" t="s">
        <v>22</v>
      </c>
      <c r="H384" s="0" t="s">
        <v>22</v>
      </c>
      <c r="I384" s="164" t="s">
        <v>930</v>
      </c>
    </row>
    <row customHeight="1" ht="11.25">
      <c r="A385" s="164" t="s">
        <v>2270</v>
      </c>
      <c r="B385" s="164" t="s">
        <v>16</v>
      </c>
      <c r="C385" s="164" t="s">
        <v>2898</v>
      </c>
      <c r="D385" s="164" t="s">
        <v>2899</v>
      </c>
      <c r="E385" s="164" t="s">
        <v>2900</v>
      </c>
      <c r="F385" s="164" t="s">
        <v>2757</v>
      </c>
      <c r="G385" s="0" t="s">
        <v>22</v>
      </c>
      <c r="H385" s="0" t="s">
        <v>22</v>
      </c>
      <c r="I385" s="164" t="s">
        <v>930</v>
      </c>
    </row>
    <row customHeight="1" ht="11.25">
      <c r="A386" s="164" t="s">
        <v>2270</v>
      </c>
      <c r="B386" s="164" t="s">
        <v>16</v>
      </c>
      <c r="C386" s="164" t="s">
        <v>2901</v>
      </c>
      <c r="D386" s="164" t="s">
        <v>2902</v>
      </c>
      <c r="E386" s="164" t="s">
        <v>2903</v>
      </c>
      <c r="F386" s="164" t="s">
        <v>2496</v>
      </c>
      <c r="G386" s="0" t="s">
        <v>22</v>
      </c>
      <c r="H386" s="0" t="s">
        <v>22</v>
      </c>
      <c r="I386" s="164" t="s">
        <v>930</v>
      </c>
    </row>
    <row customHeight="1" ht="11.25">
      <c r="A387" s="164" t="s">
        <v>2270</v>
      </c>
      <c r="B387" s="164" t="s">
        <v>16</v>
      </c>
      <c r="C387" s="164" t="s">
        <v>2449</v>
      </c>
      <c r="D387" s="164" t="s">
        <v>2450</v>
      </c>
      <c r="E387" s="164" t="s">
        <v>2451</v>
      </c>
      <c r="F387" s="164" t="s">
        <v>2452</v>
      </c>
      <c r="G387" s="0" t="s">
        <v>22</v>
      </c>
      <c r="H387" s="0" t="s">
        <v>22</v>
      </c>
      <c r="I387" s="164" t="s">
        <v>930</v>
      </c>
    </row>
    <row customHeight="1" ht="11.25">
      <c r="A388" s="164" t="s">
        <v>2270</v>
      </c>
      <c r="B388" s="164" t="s">
        <v>16</v>
      </c>
      <c r="C388" s="164" t="s">
        <v>2453</v>
      </c>
      <c r="D388" s="164" t="s">
        <v>2454</v>
      </c>
      <c r="E388" s="164" t="s">
        <v>2455</v>
      </c>
      <c r="F388" s="164" t="s">
        <v>2392</v>
      </c>
      <c r="G388" s="0" t="s">
        <v>22</v>
      </c>
      <c r="H388" s="0" t="s">
        <v>22</v>
      </c>
      <c r="I388" s="164" t="s">
        <v>930</v>
      </c>
    </row>
    <row customHeight="1" ht="11.25">
      <c r="A389" s="164" t="s">
        <v>2270</v>
      </c>
      <c r="B389" s="164" t="s">
        <v>16</v>
      </c>
      <c r="C389" s="164" t="s">
        <v>2456</v>
      </c>
      <c r="D389" s="164" t="s">
        <v>2457</v>
      </c>
      <c r="E389" s="164" t="s">
        <v>2458</v>
      </c>
      <c r="F389" s="164" t="s">
        <v>2459</v>
      </c>
      <c r="G389" s="0" t="s">
        <v>22</v>
      </c>
      <c r="H389" s="0" t="s">
        <v>22</v>
      </c>
      <c r="I389" s="164" t="s">
        <v>930</v>
      </c>
    </row>
    <row customHeight="1" ht="11.25">
      <c r="A390" s="164" t="s">
        <v>2270</v>
      </c>
      <c r="B390" s="164" t="s">
        <v>16</v>
      </c>
      <c r="C390" s="164" t="s">
        <v>2907</v>
      </c>
      <c r="D390" s="164" t="s">
        <v>2908</v>
      </c>
      <c r="E390" s="164" t="s">
        <v>2909</v>
      </c>
      <c r="F390" s="164" t="s">
        <v>2452</v>
      </c>
      <c r="G390" s="0" t="s">
        <v>22</v>
      </c>
      <c r="H390" s="0" t="s">
        <v>22</v>
      </c>
      <c r="I390" s="164" t="s">
        <v>930</v>
      </c>
    </row>
    <row customHeight="1" ht="11.25">
      <c r="A391" s="164" t="s">
        <v>2270</v>
      </c>
      <c r="B391" s="164" t="s">
        <v>16</v>
      </c>
      <c r="C391" s="164" t="s">
        <v>2460</v>
      </c>
      <c r="D391" s="164" t="s">
        <v>2461</v>
      </c>
      <c r="E391" s="164" t="s">
        <v>2462</v>
      </c>
      <c r="F391" s="164" t="s">
        <v>2463</v>
      </c>
      <c r="G391" s="0" t="s">
        <v>22</v>
      </c>
      <c r="H391" s="0" t="s">
        <v>22</v>
      </c>
      <c r="I391" s="164" t="s">
        <v>930</v>
      </c>
    </row>
    <row customHeight="1" ht="11.25">
      <c r="A392" s="164" t="s">
        <v>2270</v>
      </c>
      <c r="B392" s="164" t="s">
        <v>16</v>
      </c>
      <c r="C392" s="164" t="s">
        <v>2917</v>
      </c>
      <c r="D392" s="164" t="s">
        <v>2918</v>
      </c>
      <c r="E392" s="164" t="s">
        <v>2919</v>
      </c>
      <c r="F392" s="164" t="s">
        <v>2392</v>
      </c>
      <c r="G392" s="0" t="s">
        <v>22</v>
      </c>
      <c r="H392" s="0" t="s">
        <v>22</v>
      </c>
      <c r="I392" s="164" t="s">
        <v>930</v>
      </c>
    </row>
    <row customHeight="1" ht="11.25">
      <c r="A393" s="164" t="s">
        <v>2270</v>
      </c>
      <c r="B393" s="164" t="s">
        <v>16</v>
      </c>
      <c r="C393" s="164" t="s">
        <v>2476</v>
      </c>
      <c r="D393" s="164" t="s">
        <v>2477</v>
      </c>
      <c r="E393" s="164" t="s">
        <v>2478</v>
      </c>
      <c r="F393" s="164" t="s">
        <v>2349</v>
      </c>
      <c r="G393" s="0" t="s">
        <v>22</v>
      </c>
      <c r="H393" s="0" t="s">
        <v>22</v>
      </c>
      <c r="I393" s="164" t="s">
        <v>930</v>
      </c>
    </row>
    <row customHeight="1" ht="11.25">
      <c r="A394" s="164" t="s">
        <v>2270</v>
      </c>
      <c r="B394" s="164" t="s">
        <v>16</v>
      </c>
      <c r="C394" s="164" t="s">
        <v>2923</v>
      </c>
      <c r="D394" s="164" t="s">
        <v>2924</v>
      </c>
      <c r="E394" s="164" t="s">
        <v>2925</v>
      </c>
      <c r="F394" s="164" t="s">
        <v>2452</v>
      </c>
      <c r="G394" s="0" t="s">
        <v>22</v>
      </c>
      <c r="H394" s="0" t="s">
        <v>22</v>
      </c>
      <c r="I394" s="164" t="s">
        <v>930</v>
      </c>
    </row>
    <row customHeight="1" ht="11.25">
      <c r="A395" s="164" t="s">
        <v>2270</v>
      </c>
      <c r="B395" s="164" t="s">
        <v>16</v>
      </c>
      <c r="C395" s="164" t="s">
        <v>2479</v>
      </c>
      <c r="D395" s="164" t="s">
        <v>2480</v>
      </c>
      <c r="E395" s="164" t="s">
        <v>2481</v>
      </c>
      <c r="F395" s="164" t="s">
        <v>2482</v>
      </c>
      <c r="G395" s="0" t="s">
        <v>22</v>
      </c>
      <c r="H395" s="0" t="s">
        <v>22</v>
      </c>
      <c r="I395" s="164" t="s">
        <v>930</v>
      </c>
    </row>
    <row customHeight="1" ht="11.25">
      <c r="A396" s="164" t="s">
        <v>2270</v>
      </c>
      <c r="B396" s="164" t="s">
        <v>16</v>
      </c>
      <c r="C396" s="164" t="s">
        <v>2926</v>
      </c>
      <c r="D396" s="164" t="s">
        <v>2927</v>
      </c>
      <c r="E396" s="164" t="s">
        <v>2928</v>
      </c>
      <c r="F396" s="164" t="s">
        <v>2319</v>
      </c>
      <c r="G396" s="0" t="s">
        <v>22</v>
      </c>
      <c r="H396" s="0" t="s">
        <v>22</v>
      </c>
      <c r="I396" s="164" t="s">
        <v>930</v>
      </c>
    </row>
    <row customHeight="1" ht="11.25">
      <c r="A397" s="164" t="s">
        <v>2270</v>
      </c>
      <c r="B397" s="164" t="s">
        <v>16</v>
      </c>
      <c r="C397" s="164" t="s">
        <v>2929</v>
      </c>
      <c r="D397" s="164" t="s">
        <v>2930</v>
      </c>
      <c r="E397" s="164" t="s">
        <v>2931</v>
      </c>
      <c r="F397" s="164" t="s">
        <v>2349</v>
      </c>
      <c r="G397" s="0" t="s">
        <v>22</v>
      </c>
      <c r="H397" s="0" t="s">
        <v>22</v>
      </c>
      <c r="I397" s="164" t="s">
        <v>930</v>
      </c>
    </row>
    <row customHeight="1" ht="11.25">
      <c r="A398" s="164" t="s">
        <v>2270</v>
      </c>
      <c r="B398" s="164" t="s">
        <v>16</v>
      </c>
      <c r="C398" s="164" t="s">
        <v>2493</v>
      </c>
      <c r="D398" s="164" t="s">
        <v>2494</v>
      </c>
      <c r="E398" s="164" t="s">
        <v>2495</v>
      </c>
      <c r="F398" s="164" t="s">
        <v>2496</v>
      </c>
      <c r="G398" s="0" t="s">
        <v>22</v>
      </c>
      <c r="H398" s="0" t="s">
        <v>22</v>
      </c>
      <c r="I398" s="164" t="s">
        <v>930</v>
      </c>
    </row>
    <row customHeight="1" ht="11.25">
      <c r="A399" s="164" t="s">
        <v>2270</v>
      </c>
      <c r="B399" s="164" t="s">
        <v>16</v>
      </c>
      <c r="C399" s="164" t="s">
        <v>2497</v>
      </c>
      <c r="D399" s="164" t="s">
        <v>2498</v>
      </c>
      <c r="E399" s="164" t="s">
        <v>2499</v>
      </c>
      <c r="F399" s="164" t="s">
        <v>2500</v>
      </c>
      <c r="G399" s="0" t="s">
        <v>22</v>
      </c>
      <c r="H399" s="0" t="s">
        <v>22</v>
      </c>
      <c r="I399" s="164" t="s">
        <v>930</v>
      </c>
    </row>
    <row customHeight="1" ht="11.25">
      <c r="A400" s="164" t="s">
        <v>2270</v>
      </c>
      <c r="B400" s="164" t="s">
        <v>16</v>
      </c>
      <c r="C400" s="164" t="s">
        <v>2501</v>
      </c>
      <c r="D400" s="164" t="s">
        <v>2502</v>
      </c>
      <c r="E400" s="164" t="s">
        <v>2503</v>
      </c>
      <c r="F400" s="164" t="s">
        <v>2401</v>
      </c>
      <c r="G400" s="0" t="s">
        <v>22</v>
      </c>
      <c r="H400" s="0" t="s">
        <v>22</v>
      </c>
      <c r="I400" s="164" t="s">
        <v>930</v>
      </c>
    </row>
    <row customHeight="1" ht="11.25">
      <c r="A401" s="164" t="s">
        <v>2270</v>
      </c>
      <c r="B401" s="164" t="s">
        <v>16</v>
      </c>
      <c r="C401" s="164" t="s">
        <v>2504</v>
      </c>
      <c r="D401" s="164" t="s">
        <v>2505</v>
      </c>
      <c r="E401" s="164" t="s">
        <v>2506</v>
      </c>
      <c r="F401" s="164" t="s">
        <v>2357</v>
      </c>
      <c r="G401" s="0" t="s">
        <v>22</v>
      </c>
      <c r="H401" s="0" t="s">
        <v>22</v>
      </c>
      <c r="I401" s="164" t="s">
        <v>930</v>
      </c>
    </row>
    <row customHeight="1" ht="11.25">
      <c r="A402" s="164" t="s">
        <v>2270</v>
      </c>
      <c r="B402" s="164" t="s">
        <v>16</v>
      </c>
      <c r="C402" s="164" t="s">
        <v>2935</v>
      </c>
      <c r="D402" s="164" t="s">
        <v>2936</v>
      </c>
      <c r="E402" s="164" t="s">
        <v>2937</v>
      </c>
      <c r="F402" s="164" t="s">
        <v>2416</v>
      </c>
      <c r="G402" s="0" t="s">
        <v>22</v>
      </c>
      <c r="H402" s="0" t="s">
        <v>22</v>
      </c>
      <c r="I402" s="164" t="s">
        <v>930</v>
      </c>
    </row>
    <row customHeight="1" ht="11.25">
      <c r="A403" s="164" t="s">
        <v>2270</v>
      </c>
      <c r="B403" s="164" t="s">
        <v>16</v>
      </c>
      <c r="C403" s="164" t="s">
        <v>2938</v>
      </c>
      <c r="D403" s="164" t="s">
        <v>2939</v>
      </c>
      <c r="E403" s="164" t="s">
        <v>2940</v>
      </c>
      <c r="F403" s="164" t="s">
        <v>2319</v>
      </c>
      <c r="G403" s="0" t="s">
        <v>22</v>
      </c>
      <c r="H403" s="0" t="s">
        <v>22</v>
      </c>
      <c r="I403" s="164" t="s">
        <v>930</v>
      </c>
    </row>
    <row customHeight="1" ht="11.25">
      <c r="A404" s="164" t="s">
        <v>2270</v>
      </c>
      <c r="B404" s="164" t="s">
        <v>16</v>
      </c>
      <c r="C404" s="164" t="s">
        <v>3138</v>
      </c>
      <c r="D404" s="164" t="s">
        <v>3139</v>
      </c>
      <c r="E404" s="164" t="s">
        <v>3140</v>
      </c>
      <c r="F404" s="164" t="s">
        <v>2441</v>
      </c>
      <c r="G404" s="164" t="s">
        <v>3141</v>
      </c>
      <c r="H404" s="0" t="s">
        <v>22</v>
      </c>
      <c r="I404" s="164" t="s">
        <v>930</v>
      </c>
    </row>
    <row customHeight="1" ht="11.25">
      <c r="A405" s="164" t="s">
        <v>2270</v>
      </c>
      <c r="B405" s="164" t="s">
        <v>16</v>
      </c>
      <c r="C405" s="164" t="s">
        <v>3142</v>
      </c>
      <c r="D405" s="164" t="s">
        <v>3143</v>
      </c>
      <c r="E405" s="164" t="s">
        <v>3144</v>
      </c>
      <c r="F405" s="164" t="s">
        <v>2486</v>
      </c>
      <c r="G405" s="0" t="s">
        <v>22</v>
      </c>
      <c r="H405" s="0" t="s">
        <v>22</v>
      </c>
      <c r="I405" s="164" t="s">
        <v>930</v>
      </c>
    </row>
    <row customHeight="1" ht="11.25">
      <c r="A406" s="164" t="s">
        <v>2270</v>
      </c>
      <c r="B406" s="164" t="s">
        <v>16</v>
      </c>
      <c r="C406" s="164" t="s">
        <v>2959</v>
      </c>
      <c r="D406" s="164" t="s">
        <v>2960</v>
      </c>
      <c r="E406" s="164" t="s">
        <v>2961</v>
      </c>
      <c r="F406" s="164" t="s">
        <v>2319</v>
      </c>
      <c r="G406" s="0" t="s">
        <v>22</v>
      </c>
      <c r="H406" s="0" t="s">
        <v>22</v>
      </c>
      <c r="I406" s="164" t="s">
        <v>930</v>
      </c>
    </row>
    <row customHeight="1" ht="11.25">
      <c r="A407" s="164" t="s">
        <v>2270</v>
      </c>
      <c r="B407" s="164" t="s">
        <v>16</v>
      </c>
      <c r="C407" s="164" t="s">
        <v>2542</v>
      </c>
      <c r="D407" s="164" t="s">
        <v>2543</v>
      </c>
      <c r="E407" s="164" t="s">
        <v>2544</v>
      </c>
      <c r="F407" s="164" t="s">
        <v>2545</v>
      </c>
      <c r="G407" s="0" t="s">
        <v>22</v>
      </c>
      <c r="H407" s="0" t="s">
        <v>22</v>
      </c>
      <c r="I407" s="164" t="s">
        <v>930</v>
      </c>
    </row>
    <row customHeight="1" ht="11.25">
      <c r="A408" s="164" t="s">
        <v>2270</v>
      </c>
      <c r="B408" s="164" t="s">
        <v>16</v>
      </c>
      <c r="C408" s="164" t="s">
        <v>2549</v>
      </c>
      <c r="D408" s="164" t="s">
        <v>2550</v>
      </c>
      <c r="E408" s="164" t="s">
        <v>2551</v>
      </c>
      <c r="F408" s="164" t="s">
        <v>2552</v>
      </c>
      <c r="G408" s="0" t="s">
        <v>22</v>
      </c>
      <c r="H408" s="0" t="s">
        <v>22</v>
      </c>
      <c r="I408" s="164" t="s">
        <v>930</v>
      </c>
    </row>
    <row customHeight="1" ht="11.25">
      <c r="A409" s="164" t="s">
        <v>2270</v>
      </c>
      <c r="B409" s="164" t="s">
        <v>16</v>
      </c>
      <c r="C409" s="164" t="s">
        <v>3145</v>
      </c>
      <c r="D409" s="164" t="s">
        <v>3146</v>
      </c>
      <c r="E409" s="164" t="s">
        <v>2551</v>
      </c>
      <c r="F409" s="164" t="s">
        <v>3147</v>
      </c>
      <c r="G409" s="0" t="s">
        <v>22</v>
      </c>
      <c r="H409" s="0" t="s">
        <v>22</v>
      </c>
      <c r="I409" s="164" t="s">
        <v>930</v>
      </c>
    </row>
    <row customHeight="1" ht="11.25">
      <c r="A410" s="164" t="s">
        <v>2270</v>
      </c>
      <c r="B410" s="164" t="s">
        <v>16</v>
      </c>
      <c r="C410" s="164" t="s">
        <v>2570</v>
      </c>
      <c r="D410" s="164" t="s">
        <v>2571</v>
      </c>
      <c r="E410" s="164" t="s">
        <v>2572</v>
      </c>
      <c r="F410" s="164" t="s">
        <v>2357</v>
      </c>
      <c r="G410" s="164" t="s">
        <v>2573</v>
      </c>
      <c r="H410" s="164" t="s">
        <v>2574</v>
      </c>
      <c r="I410" s="164" t="s">
        <v>930</v>
      </c>
    </row>
    <row customHeight="1" ht="11.25">
      <c r="A411" s="164" t="s">
        <v>2270</v>
      </c>
      <c r="B411" s="164" t="s">
        <v>16</v>
      </c>
      <c r="C411" s="164" t="s">
        <v>2965</v>
      </c>
      <c r="D411" s="164" t="s">
        <v>2966</v>
      </c>
      <c r="E411" s="164" t="s">
        <v>2967</v>
      </c>
      <c r="F411" s="164" t="s">
        <v>2406</v>
      </c>
      <c r="G411" s="0" t="s">
        <v>22</v>
      </c>
      <c r="H411" s="0" t="s">
        <v>22</v>
      </c>
      <c r="I411" s="164" t="s">
        <v>930</v>
      </c>
    </row>
    <row customHeight="1" ht="11.25">
      <c r="A412" s="164" t="s">
        <v>2270</v>
      </c>
      <c r="B412" s="164" t="s">
        <v>16</v>
      </c>
      <c r="C412" s="164" t="s">
        <v>2968</v>
      </c>
      <c r="D412" s="164" t="s">
        <v>2969</v>
      </c>
      <c r="E412" s="164" t="s">
        <v>2970</v>
      </c>
      <c r="F412" s="164" t="s">
        <v>2971</v>
      </c>
      <c r="G412" s="0" t="s">
        <v>22</v>
      </c>
      <c r="H412" s="0" t="s">
        <v>22</v>
      </c>
      <c r="I412" s="164" t="s">
        <v>930</v>
      </c>
    </row>
    <row customHeight="1" ht="11.25">
      <c r="A413" s="164" t="s">
        <v>2270</v>
      </c>
      <c r="B413" s="164" t="s">
        <v>16</v>
      </c>
      <c r="C413" s="164" t="s">
        <v>2584</v>
      </c>
      <c r="D413" s="164" t="s">
        <v>2585</v>
      </c>
      <c r="E413" s="164" t="s">
        <v>2586</v>
      </c>
      <c r="F413" s="164" t="s">
        <v>2587</v>
      </c>
      <c r="G413" s="0" t="s">
        <v>22</v>
      </c>
      <c r="H413" s="0" t="s">
        <v>22</v>
      </c>
      <c r="I413" s="164" t="s">
        <v>930</v>
      </c>
    </row>
    <row customHeight="1" ht="11.25">
      <c r="A414" s="164" t="s">
        <v>2270</v>
      </c>
      <c r="B414" s="164" t="s">
        <v>16</v>
      </c>
      <c r="C414" s="164" t="s">
        <v>3148</v>
      </c>
      <c r="D414" s="164" t="s">
        <v>3149</v>
      </c>
      <c r="E414" s="164" t="s">
        <v>3150</v>
      </c>
      <c r="F414" s="164" t="s">
        <v>2345</v>
      </c>
      <c r="G414" s="164" t="s">
        <v>2975</v>
      </c>
      <c r="H414" s="0" t="s">
        <v>22</v>
      </c>
      <c r="I414" s="164" t="s">
        <v>930</v>
      </c>
    </row>
    <row customHeight="1" ht="11.25">
      <c r="A415" s="164" t="s">
        <v>2270</v>
      </c>
      <c r="B415" s="164" t="s">
        <v>16</v>
      </c>
      <c r="C415" s="164" t="s">
        <v>3151</v>
      </c>
      <c r="D415" s="164" t="s">
        <v>3152</v>
      </c>
      <c r="E415" s="164" t="s">
        <v>3153</v>
      </c>
      <c r="F415" s="164" t="s">
        <v>2441</v>
      </c>
      <c r="G415" s="0" t="s">
        <v>22</v>
      </c>
      <c r="H415" s="0" t="s">
        <v>22</v>
      </c>
      <c r="I415" s="164" t="s">
        <v>930</v>
      </c>
    </row>
    <row customHeight="1" ht="11.25">
      <c r="A416" s="164" t="s">
        <v>2270</v>
      </c>
      <c r="B416" s="164" t="s">
        <v>16</v>
      </c>
      <c r="C416" s="164" t="s">
        <v>2979</v>
      </c>
      <c r="D416" s="164" t="s">
        <v>2980</v>
      </c>
      <c r="E416" s="164" t="s">
        <v>2981</v>
      </c>
      <c r="F416" s="164" t="s">
        <v>2441</v>
      </c>
      <c r="G416" s="0" t="s">
        <v>22</v>
      </c>
      <c r="H416" s="0" t="s">
        <v>22</v>
      </c>
      <c r="I416" s="164" t="s">
        <v>930</v>
      </c>
    </row>
    <row customHeight="1" ht="11.25">
      <c r="A417" s="164" t="s">
        <v>2270</v>
      </c>
      <c r="B417" s="164" t="s">
        <v>16</v>
      </c>
      <c r="C417" s="164" t="s">
        <v>2982</v>
      </c>
      <c r="D417" s="164" t="s">
        <v>2983</v>
      </c>
      <c r="E417" s="164" t="s">
        <v>2984</v>
      </c>
      <c r="F417" s="164" t="s">
        <v>2319</v>
      </c>
      <c r="G417" s="0" t="s">
        <v>22</v>
      </c>
      <c r="H417" s="0" t="s">
        <v>22</v>
      </c>
      <c r="I417" s="164" t="s">
        <v>930</v>
      </c>
    </row>
    <row customHeight="1" ht="11.25">
      <c r="A418" s="164" t="s">
        <v>2270</v>
      </c>
      <c r="B418" s="164" t="s">
        <v>16</v>
      </c>
      <c r="C418" s="164" t="s">
        <v>3154</v>
      </c>
      <c r="D418" s="164" t="s">
        <v>3155</v>
      </c>
      <c r="E418" s="164" t="s">
        <v>3156</v>
      </c>
      <c r="F418" s="164" t="s">
        <v>50</v>
      </c>
      <c r="G418" s="0" t="s">
        <v>22</v>
      </c>
      <c r="H418" s="0" t="s">
        <v>22</v>
      </c>
      <c r="I418" s="164" t="s">
        <v>930</v>
      </c>
    </row>
    <row customHeight="1" ht="11.25">
      <c r="A419" s="164" t="s">
        <v>2270</v>
      </c>
      <c r="B419" s="164" t="s">
        <v>16</v>
      </c>
      <c r="C419" s="164" t="s">
        <v>3157</v>
      </c>
      <c r="D419" s="164" t="s">
        <v>3158</v>
      </c>
      <c r="E419" s="164" t="s">
        <v>3159</v>
      </c>
      <c r="F419" s="164" t="s">
        <v>2274</v>
      </c>
      <c r="G419" s="0" t="s">
        <v>22</v>
      </c>
      <c r="H419" s="0" t="s">
        <v>22</v>
      </c>
      <c r="I419" s="164" t="s">
        <v>930</v>
      </c>
    </row>
    <row customHeight="1" ht="11.25">
      <c r="A420" s="164" t="s">
        <v>2270</v>
      </c>
      <c r="B420" s="164" t="s">
        <v>16</v>
      </c>
      <c r="C420" s="164" t="s">
        <v>2991</v>
      </c>
      <c r="D420" s="164" t="s">
        <v>2639</v>
      </c>
      <c r="E420" s="164" t="s">
        <v>2992</v>
      </c>
      <c r="F420" s="164" t="s">
        <v>2437</v>
      </c>
      <c r="G420" s="164" t="s">
        <v>2993</v>
      </c>
      <c r="H420" s="0" t="s">
        <v>22</v>
      </c>
      <c r="I420" s="164" t="s">
        <v>930</v>
      </c>
    </row>
    <row customHeight="1" ht="11.25">
      <c r="A421" s="164" t="s">
        <v>2270</v>
      </c>
      <c r="B421" s="164" t="s">
        <v>16</v>
      </c>
      <c r="C421" s="164" t="s">
        <v>2642</v>
      </c>
      <c r="D421" s="164" t="s">
        <v>2643</v>
      </c>
      <c r="E421" s="164" t="s">
        <v>2644</v>
      </c>
      <c r="F421" s="164" t="s">
        <v>2452</v>
      </c>
      <c r="G421" s="0" t="s">
        <v>22</v>
      </c>
      <c r="H421" s="0" t="s">
        <v>22</v>
      </c>
      <c r="I421" s="164" t="s">
        <v>930</v>
      </c>
    </row>
    <row customHeight="1" ht="11.25">
      <c r="A422" s="164" t="s">
        <v>2270</v>
      </c>
      <c r="B422" s="164" t="s">
        <v>16</v>
      </c>
      <c r="C422" s="164" t="s">
        <v>3003</v>
      </c>
      <c r="D422" s="164" t="s">
        <v>3004</v>
      </c>
      <c r="E422" s="164" t="s">
        <v>3005</v>
      </c>
      <c r="F422" s="164" t="s">
        <v>2315</v>
      </c>
      <c r="G422" s="0" t="s">
        <v>22</v>
      </c>
      <c r="H422" s="0" t="s">
        <v>22</v>
      </c>
      <c r="I422" s="164" t="s">
        <v>930</v>
      </c>
    </row>
    <row customHeight="1" ht="11.25">
      <c r="A423" s="164" t="s">
        <v>2270</v>
      </c>
      <c r="B423" s="164" t="s">
        <v>16</v>
      </c>
      <c r="C423" s="164" t="s">
        <v>3018</v>
      </c>
      <c r="D423" s="164" t="s">
        <v>3019</v>
      </c>
      <c r="E423" s="164" t="s">
        <v>3020</v>
      </c>
      <c r="F423" s="164" t="s">
        <v>3021</v>
      </c>
      <c r="G423" s="0" t="s">
        <v>22</v>
      </c>
      <c r="H423" s="0" t="s">
        <v>22</v>
      </c>
      <c r="I423" s="164" t="s">
        <v>930</v>
      </c>
    </row>
    <row customHeight="1" ht="11.25">
      <c r="A424" s="164" t="s">
        <v>2270</v>
      </c>
      <c r="B424" s="164" t="s">
        <v>16</v>
      </c>
      <c r="C424" s="164" t="s">
        <v>3056</v>
      </c>
      <c r="D424" s="164" t="s">
        <v>3057</v>
      </c>
      <c r="E424" s="164" t="s">
        <v>3058</v>
      </c>
      <c r="F424" s="164" t="s">
        <v>3059</v>
      </c>
      <c r="G424" s="0" t="s">
        <v>22</v>
      </c>
      <c r="H424" s="0" t="s">
        <v>22</v>
      </c>
      <c r="I424" s="164" t="s">
        <v>930</v>
      </c>
    </row>
    <row customHeight="1" ht="11.25">
      <c r="A425" s="164" t="s">
        <v>2270</v>
      </c>
      <c r="B425" s="164" t="s">
        <v>16</v>
      </c>
      <c r="C425" s="164" t="s">
        <v>3060</v>
      </c>
      <c r="D425" s="164" t="s">
        <v>3061</v>
      </c>
      <c r="E425" s="164" t="s">
        <v>3062</v>
      </c>
      <c r="F425" s="164" t="s">
        <v>2345</v>
      </c>
      <c r="G425" s="0" t="s">
        <v>22</v>
      </c>
      <c r="H425" s="0" t="s">
        <v>22</v>
      </c>
      <c r="I425" s="164" t="s">
        <v>930</v>
      </c>
    </row>
    <row customHeight="1" ht="11.25">
      <c r="A426" s="164" t="s">
        <v>2270</v>
      </c>
      <c r="B426" s="164" t="s">
        <v>16</v>
      </c>
      <c r="C426" s="164" t="s">
        <v>3063</v>
      </c>
      <c r="D426" s="164" t="s">
        <v>3064</v>
      </c>
      <c r="E426" s="164" t="s">
        <v>3065</v>
      </c>
      <c r="F426" s="164" t="s">
        <v>2345</v>
      </c>
      <c r="G426" s="0" t="s">
        <v>22</v>
      </c>
      <c r="H426" s="0" t="s">
        <v>22</v>
      </c>
      <c r="I426" s="164" t="s">
        <v>930</v>
      </c>
    </row>
    <row customHeight="1" ht="11.25">
      <c r="A427" s="164" t="s">
        <v>2270</v>
      </c>
      <c r="B427" s="164" t="s">
        <v>16</v>
      </c>
      <c r="C427" s="164" t="s">
        <v>3066</v>
      </c>
      <c r="D427" s="164" t="s">
        <v>3067</v>
      </c>
      <c r="E427" s="164" t="s">
        <v>3068</v>
      </c>
      <c r="F427" s="164" t="s">
        <v>2345</v>
      </c>
      <c r="G427" s="0" t="s">
        <v>22</v>
      </c>
      <c r="H427" s="0" t="s">
        <v>22</v>
      </c>
      <c r="I427" s="164" t="s">
        <v>930</v>
      </c>
    </row>
    <row customHeight="1" ht="11.25">
      <c r="A428" s="164" t="s">
        <v>2270</v>
      </c>
      <c r="B428" s="164" t="s">
        <v>16</v>
      </c>
      <c r="C428" s="164" t="s">
        <v>3072</v>
      </c>
      <c r="D428" s="164" t="s">
        <v>3073</v>
      </c>
      <c r="E428" s="164" t="s">
        <v>3074</v>
      </c>
      <c r="F428" s="164" t="s">
        <v>3031</v>
      </c>
      <c r="G428" s="0" t="s">
        <v>22</v>
      </c>
      <c r="H428" s="0" t="s">
        <v>22</v>
      </c>
      <c r="I428" s="164" t="s">
        <v>930</v>
      </c>
    </row>
    <row customHeight="1" ht="11.25">
      <c r="A429" s="164" t="s">
        <v>2270</v>
      </c>
      <c r="B429" s="164" t="s">
        <v>16</v>
      </c>
      <c r="C429" s="164" t="s">
        <v>3081</v>
      </c>
      <c r="D429" s="164" t="s">
        <v>3082</v>
      </c>
      <c r="E429" s="164" t="s">
        <v>2838</v>
      </c>
      <c r="F429" s="164" t="s">
        <v>3083</v>
      </c>
      <c r="G429" s="0" t="s">
        <v>22</v>
      </c>
      <c r="H429" s="0" t="s">
        <v>22</v>
      </c>
      <c r="I429" s="164" t="s">
        <v>930</v>
      </c>
    </row>
    <row customHeight="1" ht="11.25">
      <c r="A430" s="164" t="s">
        <v>2270</v>
      </c>
      <c r="B430" s="164" t="s">
        <v>16</v>
      </c>
      <c r="C430" s="164" t="s">
        <v>2784</v>
      </c>
      <c r="D430" s="164" t="s">
        <v>2785</v>
      </c>
      <c r="E430" s="164" t="s">
        <v>2786</v>
      </c>
      <c r="F430" s="164" t="s">
        <v>2337</v>
      </c>
      <c r="G430" s="0" t="s">
        <v>22</v>
      </c>
      <c r="H430" s="0" t="s">
        <v>22</v>
      </c>
      <c r="I430" s="164" t="s">
        <v>930</v>
      </c>
    </row>
    <row customHeight="1" ht="11.25">
      <c r="A431" s="164" t="s">
        <v>2270</v>
      </c>
      <c r="B431" s="164" t="s">
        <v>16</v>
      </c>
      <c r="C431" s="164" t="s">
        <v>3084</v>
      </c>
      <c r="D431" s="164" t="s">
        <v>3085</v>
      </c>
      <c r="E431" s="164" t="s">
        <v>2838</v>
      </c>
      <c r="F431" s="164" t="s">
        <v>3086</v>
      </c>
      <c r="G431" s="0" t="s">
        <v>22</v>
      </c>
      <c r="H431" s="0" t="s">
        <v>22</v>
      </c>
      <c r="I431" s="164" t="s">
        <v>930</v>
      </c>
    </row>
    <row customHeight="1" ht="11.25">
      <c r="A432" s="164" t="s">
        <v>2270</v>
      </c>
      <c r="B432" s="164" t="s">
        <v>16</v>
      </c>
      <c r="C432" s="164" t="s">
        <v>3087</v>
      </c>
      <c r="D432" s="164" t="s">
        <v>3088</v>
      </c>
      <c r="E432" s="164" t="s">
        <v>2838</v>
      </c>
      <c r="F432" s="164" t="s">
        <v>3089</v>
      </c>
      <c r="G432" s="0" t="s">
        <v>22</v>
      </c>
      <c r="H432" s="0" t="s">
        <v>22</v>
      </c>
      <c r="I432" s="164" t="s">
        <v>930</v>
      </c>
    </row>
    <row customHeight="1" ht="11.25">
      <c r="A433" s="164" t="s">
        <v>2270</v>
      </c>
      <c r="B433" s="164" t="s">
        <v>16</v>
      </c>
      <c r="C433" s="164" t="s">
        <v>3090</v>
      </c>
      <c r="D433" s="164" t="s">
        <v>3091</v>
      </c>
      <c r="E433" s="164" t="s">
        <v>2838</v>
      </c>
      <c r="F433" s="164" t="s">
        <v>3092</v>
      </c>
      <c r="G433" s="0" t="s">
        <v>22</v>
      </c>
      <c r="H433" s="0" t="s">
        <v>22</v>
      </c>
      <c r="I433" s="164" t="s">
        <v>930</v>
      </c>
    </row>
    <row customHeight="1" ht="11.25">
      <c r="A434" s="164" t="s">
        <v>2270</v>
      </c>
      <c r="B434" s="164" t="s">
        <v>16</v>
      </c>
      <c r="C434" s="164" t="s">
        <v>3093</v>
      </c>
      <c r="D434" s="164" t="s">
        <v>3094</v>
      </c>
      <c r="E434" s="164" t="s">
        <v>2838</v>
      </c>
      <c r="F434" s="164" t="s">
        <v>3095</v>
      </c>
      <c r="G434" s="0" t="s">
        <v>22</v>
      </c>
      <c r="H434" s="0" t="s">
        <v>22</v>
      </c>
      <c r="I434" s="164" t="s">
        <v>930</v>
      </c>
    </row>
    <row customHeight="1" ht="11.25">
      <c r="A435" s="164" t="s">
        <v>2270</v>
      </c>
      <c r="B435" s="164" t="s">
        <v>16</v>
      </c>
      <c r="C435" s="164" t="s">
        <v>3096</v>
      </c>
      <c r="D435" s="164" t="s">
        <v>3097</v>
      </c>
      <c r="E435" s="164" t="s">
        <v>2838</v>
      </c>
      <c r="F435" s="164" t="s">
        <v>3098</v>
      </c>
      <c r="G435" s="0" t="s">
        <v>22</v>
      </c>
      <c r="H435" s="0" t="s">
        <v>22</v>
      </c>
      <c r="I435" s="164" t="s">
        <v>930</v>
      </c>
    </row>
    <row customHeight="1" ht="11.25">
      <c r="A436" s="164" t="s">
        <v>2270</v>
      </c>
      <c r="B436" s="164" t="s">
        <v>16</v>
      </c>
      <c r="C436" s="164" t="s">
        <v>3099</v>
      </c>
      <c r="D436" s="164" t="s">
        <v>3100</v>
      </c>
      <c r="E436" s="164" t="s">
        <v>2838</v>
      </c>
      <c r="F436" s="164" t="s">
        <v>3101</v>
      </c>
      <c r="G436" s="0" t="s">
        <v>22</v>
      </c>
      <c r="H436" s="0" t="s">
        <v>22</v>
      </c>
      <c r="I436" s="164" t="s">
        <v>930</v>
      </c>
    </row>
    <row customHeight="1" ht="11.25">
      <c r="A437" s="164" t="s">
        <v>2270</v>
      </c>
      <c r="B437" s="164" t="s">
        <v>16</v>
      </c>
      <c r="C437" s="164" t="s">
        <v>3102</v>
      </c>
      <c r="D437" s="164" t="s">
        <v>3103</v>
      </c>
      <c r="E437" s="164" t="s">
        <v>2838</v>
      </c>
      <c r="F437" s="164" t="s">
        <v>3104</v>
      </c>
      <c r="G437" s="0" t="s">
        <v>22</v>
      </c>
      <c r="H437" s="0" t="s">
        <v>22</v>
      </c>
      <c r="I437" s="164" t="s">
        <v>930</v>
      </c>
    </row>
    <row customHeight="1" ht="11.25">
      <c r="A438" s="164" t="s">
        <v>2270</v>
      </c>
      <c r="B438" s="164" t="s">
        <v>16</v>
      </c>
      <c r="C438" s="164" t="s">
        <v>3105</v>
      </c>
      <c r="D438" s="164" t="s">
        <v>3106</v>
      </c>
      <c r="E438" s="164" t="s">
        <v>2838</v>
      </c>
      <c r="F438" s="164" t="s">
        <v>3107</v>
      </c>
      <c r="G438" s="0" t="s">
        <v>22</v>
      </c>
      <c r="H438" s="0" t="s">
        <v>22</v>
      </c>
      <c r="I438" s="164" t="s">
        <v>930</v>
      </c>
    </row>
    <row customHeight="1" ht="11.25">
      <c r="A439" s="164" t="s">
        <v>2270</v>
      </c>
      <c r="B439" s="164" t="s">
        <v>16</v>
      </c>
      <c r="C439" s="164" t="s">
        <v>3108</v>
      </c>
      <c r="D439" s="164" t="s">
        <v>3109</v>
      </c>
      <c r="E439" s="164" t="s">
        <v>2838</v>
      </c>
      <c r="F439" s="164" t="s">
        <v>3110</v>
      </c>
      <c r="G439" s="0" t="s">
        <v>22</v>
      </c>
      <c r="H439" s="0" t="s">
        <v>22</v>
      </c>
      <c r="I439" s="164" t="s">
        <v>930</v>
      </c>
    </row>
    <row customHeight="1" ht="11.25">
      <c r="A440" s="164" t="s">
        <v>2270</v>
      </c>
      <c r="B440" s="164" t="s">
        <v>16</v>
      </c>
      <c r="C440" s="164" t="s">
        <v>3111</v>
      </c>
      <c r="D440" s="164" t="s">
        <v>3112</v>
      </c>
      <c r="E440" s="164" t="s">
        <v>2838</v>
      </c>
      <c r="F440" s="164" t="s">
        <v>3113</v>
      </c>
      <c r="G440" s="0" t="s">
        <v>22</v>
      </c>
      <c r="H440" s="0" t="s">
        <v>22</v>
      </c>
      <c r="I440" s="164" t="s">
        <v>930</v>
      </c>
    </row>
    <row customHeight="1" ht="11.25">
      <c r="A441" s="164" t="s">
        <v>2270</v>
      </c>
      <c r="B441" s="164" t="s">
        <v>16</v>
      </c>
      <c r="C441" s="164" t="s">
        <v>3114</v>
      </c>
      <c r="D441" s="164" t="s">
        <v>3115</v>
      </c>
      <c r="E441" s="164" t="s">
        <v>2838</v>
      </c>
      <c r="F441" s="164" t="s">
        <v>3116</v>
      </c>
      <c r="G441" s="0" t="s">
        <v>22</v>
      </c>
      <c r="H441" s="0" t="s">
        <v>22</v>
      </c>
      <c r="I441" s="164" t="s">
        <v>930</v>
      </c>
    </row>
    <row customHeight="1" ht="11.25">
      <c r="A442" s="164" t="s">
        <v>2270</v>
      </c>
      <c r="B442" s="164" t="s">
        <v>16</v>
      </c>
      <c r="C442" s="164" t="s">
        <v>3117</v>
      </c>
      <c r="D442" s="164" t="s">
        <v>3118</v>
      </c>
      <c r="E442" s="164" t="s">
        <v>2838</v>
      </c>
      <c r="F442" s="164" t="s">
        <v>3119</v>
      </c>
      <c r="G442" s="0" t="s">
        <v>22</v>
      </c>
      <c r="H442" s="0" t="s">
        <v>22</v>
      </c>
      <c r="I442" s="164" t="s">
        <v>930</v>
      </c>
    </row>
    <row customHeight="1" ht="11.25">
      <c r="A443" s="164" t="s">
        <v>2270</v>
      </c>
      <c r="B443" s="164" t="s">
        <v>16</v>
      </c>
      <c r="C443" s="164" t="s">
        <v>3120</v>
      </c>
      <c r="D443" s="164" t="s">
        <v>3121</v>
      </c>
      <c r="E443" s="164" t="s">
        <v>2838</v>
      </c>
      <c r="F443" s="164" t="s">
        <v>3122</v>
      </c>
      <c r="G443" s="0" t="s">
        <v>22</v>
      </c>
      <c r="H443" s="0" t="s">
        <v>22</v>
      </c>
      <c r="I443" s="164" t="s">
        <v>930</v>
      </c>
    </row>
    <row customHeight="1" ht="11.25">
      <c r="A444" s="164" t="s">
        <v>2270</v>
      </c>
      <c r="B444" s="164" t="s">
        <v>16</v>
      </c>
      <c r="C444" s="164" t="s">
        <v>2787</v>
      </c>
      <c r="D444" s="164" t="s">
        <v>2788</v>
      </c>
      <c r="E444" s="164" t="s">
        <v>2551</v>
      </c>
      <c r="F444" s="164" t="s">
        <v>2789</v>
      </c>
      <c r="G444" s="0" t="s">
        <v>22</v>
      </c>
      <c r="H444" s="0" t="s">
        <v>22</v>
      </c>
      <c r="I444" s="164" t="s">
        <v>930</v>
      </c>
    </row>
    <row customHeight="1" ht="11.25">
      <c r="A445" s="164" t="s">
        <v>2270</v>
      </c>
      <c r="B445" s="164" t="s">
        <v>16</v>
      </c>
      <c r="C445" s="164" t="s">
        <v>2790</v>
      </c>
      <c r="D445" s="164" t="s">
        <v>2791</v>
      </c>
      <c r="E445" s="164" t="s">
        <v>2551</v>
      </c>
      <c r="F445" s="164" t="s">
        <v>2792</v>
      </c>
      <c r="G445" s="0" t="s">
        <v>22</v>
      </c>
      <c r="H445" s="0" t="s">
        <v>22</v>
      </c>
      <c r="I445" s="164" t="s">
        <v>930</v>
      </c>
    </row>
    <row customHeight="1" ht="11.25">
      <c r="A446" s="164" t="s">
        <v>2270</v>
      </c>
      <c r="B446" s="164" t="s">
        <v>16</v>
      </c>
      <c r="C446" s="164" t="s">
        <v>2796</v>
      </c>
      <c r="D446" s="164" t="s">
        <v>2797</v>
      </c>
      <c r="E446" s="164" t="s">
        <v>2798</v>
      </c>
      <c r="F446" s="164" t="s">
        <v>2799</v>
      </c>
      <c r="G446" s="0" t="s">
        <v>22</v>
      </c>
      <c r="H446" s="0" t="s">
        <v>22</v>
      </c>
      <c r="I446" s="164" t="s">
        <v>930</v>
      </c>
    </row>
    <row customHeight="1" ht="11.25">
      <c r="A447" s="164" t="s">
        <v>2270</v>
      </c>
      <c r="B447" s="164" t="s">
        <v>16</v>
      </c>
      <c r="C447" s="164" t="s">
        <v>3126</v>
      </c>
      <c r="D447" s="164" t="s">
        <v>3127</v>
      </c>
      <c r="E447" s="164" t="s">
        <v>3128</v>
      </c>
      <c r="F447" s="164" t="s">
        <v>2437</v>
      </c>
      <c r="G447" s="0" t="s">
        <v>22</v>
      </c>
      <c r="H447" s="0" t="s">
        <v>22</v>
      </c>
      <c r="I447" s="164" t="s">
        <v>930</v>
      </c>
    </row>
    <row customHeight="1" ht="11.25">
      <c r="A448" s="164" t="s">
        <v>2270</v>
      </c>
      <c r="B448" s="164" t="s">
        <v>16</v>
      </c>
      <c r="C448" s="164" t="s">
        <v>2283</v>
      </c>
      <c r="D448" s="164" t="s">
        <v>2284</v>
      </c>
      <c r="E448" s="164" t="s">
        <v>2285</v>
      </c>
      <c r="F448" s="164" t="s">
        <v>2286</v>
      </c>
      <c r="G448" s="0" t="s">
        <v>22</v>
      </c>
      <c r="H448" s="0" t="s">
        <v>22</v>
      </c>
      <c r="I448" s="164" t="s">
        <v>1643</v>
      </c>
    </row>
    <row customHeight="1" ht="11.25">
      <c r="A449" s="164" t="s">
        <v>2270</v>
      </c>
      <c r="B449" s="164" t="s">
        <v>16</v>
      </c>
      <c r="C449" s="5774" t="s">
        <v>22</v>
      </c>
      <c r="D449" s="164" t="s">
        <v>2375</v>
      </c>
      <c r="E449" s="164" t="s">
        <v>2376</v>
      </c>
      <c r="F449" s="164" t="s">
        <v>2353</v>
      </c>
      <c r="G449" s="0" t="s">
        <v>22</v>
      </c>
      <c r="H449" s="0" t="s">
        <v>22</v>
      </c>
      <c r="I449" s="164" t="s">
        <v>1643</v>
      </c>
    </row>
    <row customHeight="1" ht="11.25">
      <c r="A450" s="164" t="s">
        <v>2270</v>
      </c>
      <c r="B450" s="164" t="s">
        <v>16</v>
      </c>
      <c r="C450" s="164" t="s">
        <v>3160</v>
      </c>
      <c r="D450" s="164" t="s">
        <v>3161</v>
      </c>
      <c r="E450" s="164" t="s">
        <v>3162</v>
      </c>
      <c r="F450" s="164" t="s">
        <v>2380</v>
      </c>
      <c r="G450" s="0" t="s">
        <v>22</v>
      </c>
      <c r="H450" s="0" t="s">
        <v>22</v>
      </c>
      <c r="I450" s="164" t="s">
        <v>1643</v>
      </c>
    </row>
    <row customHeight="1" ht="11.25">
      <c r="A451" s="164" t="s">
        <v>2270</v>
      </c>
      <c r="B451" s="164" t="s">
        <v>16</v>
      </c>
      <c r="C451" s="164" t="s">
        <v>3163</v>
      </c>
      <c r="D451" s="164" t="s">
        <v>3164</v>
      </c>
      <c r="E451" s="164" t="s">
        <v>3165</v>
      </c>
      <c r="F451" s="164" t="s">
        <v>2482</v>
      </c>
      <c r="G451" s="0" t="s">
        <v>22</v>
      </c>
      <c r="H451" s="0" t="s">
        <v>22</v>
      </c>
      <c r="I451" s="164" t="s">
        <v>1643</v>
      </c>
    </row>
    <row customHeight="1" ht="11.25">
      <c r="A452" s="164" t="s">
        <v>2270</v>
      </c>
      <c r="B452" s="164" t="s">
        <v>16</v>
      </c>
      <c r="C452" s="164" t="s">
        <v>3166</v>
      </c>
      <c r="D452" s="164" t="s">
        <v>3167</v>
      </c>
      <c r="E452" s="164" t="s">
        <v>3168</v>
      </c>
      <c r="F452" s="164" t="s">
        <v>2424</v>
      </c>
      <c r="G452" s="0" t="s">
        <v>22</v>
      </c>
      <c r="H452" s="0" t="s">
        <v>22</v>
      </c>
      <c r="I452" s="164" t="s">
        <v>1643</v>
      </c>
    </row>
    <row customHeight="1" ht="11.25">
      <c r="A453" s="164" t="s">
        <v>2270</v>
      </c>
      <c r="B453" s="164" t="s">
        <v>16</v>
      </c>
      <c r="C453" s="164" t="s">
        <v>3169</v>
      </c>
      <c r="D453" s="164" t="s">
        <v>3170</v>
      </c>
      <c r="E453" s="164" t="s">
        <v>3171</v>
      </c>
      <c r="F453" s="164" t="s">
        <v>2353</v>
      </c>
      <c r="G453" s="0" t="s">
        <v>22</v>
      </c>
      <c r="H453" s="0" t="s">
        <v>22</v>
      </c>
      <c r="I453" s="164" t="s">
        <v>1643</v>
      </c>
    </row>
    <row customHeight="1" ht="11.25">
      <c r="A454" s="164" t="s">
        <v>2270</v>
      </c>
      <c r="B454" s="164" t="s">
        <v>16</v>
      </c>
      <c r="C454" s="164" t="s">
        <v>3172</v>
      </c>
      <c r="D454" s="164" t="s">
        <v>3173</v>
      </c>
      <c r="E454" s="164" t="s">
        <v>3174</v>
      </c>
      <c r="F454" s="164" t="s">
        <v>2353</v>
      </c>
      <c r="G454" s="0" t="s">
        <v>22</v>
      </c>
      <c r="H454" s="0" t="s">
        <v>22</v>
      </c>
      <c r="I454" s="164" t="s">
        <v>1643</v>
      </c>
    </row>
    <row customHeight="1" ht="11.25">
      <c r="A455" s="164" t="s">
        <v>2270</v>
      </c>
      <c r="B455" s="164" t="s">
        <v>16</v>
      </c>
      <c r="C455" s="164" t="s">
        <v>3175</v>
      </c>
      <c r="D455" s="164" t="s">
        <v>3176</v>
      </c>
      <c r="E455" s="164" t="s">
        <v>3177</v>
      </c>
      <c r="F455" s="164" t="s">
        <v>2757</v>
      </c>
      <c r="G455" s="0" t="s">
        <v>22</v>
      </c>
      <c r="H455" s="0" t="s">
        <v>22</v>
      </c>
      <c r="I455" s="164" t="s">
        <v>1643</v>
      </c>
    </row>
    <row customHeight="1" ht="11.25">
      <c r="A456" s="164" t="s">
        <v>2270</v>
      </c>
      <c r="B456" s="164" t="s">
        <v>16</v>
      </c>
      <c r="C456" s="164" t="s">
        <v>3178</v>
      </c>
      <c r="D456" s="164" t="s">
        <v>3179</v>
      </c>
      <c r="E456" s="164" t="s">
        <v>3180</v>
      </c>
      <c r="F456" s="164" t="s">
        <v>2433</v>
      </c>
      <c r="G456" s="0" t="s">
        <v>22</v>
      </c>
      <c r="H456" s="0" t="s">
        <v>22</v>
      </c>
      <c r="I456" s="164" t="s">
        <v>1643</v>
      </c>
    </row>
    <row customHeight="1" ht="11.25">
      <c r="A457" s="164" t="s">
        <v>2270</v>
      </c>
      <c r="B457" s="164" t="s">
        <v>16</v>
      </c>
      <c r="C457" s="164" t="s">
        <v>3181</v>
      </c>
      <c r="D457" s="164" t="s">
        <v>3182</v>
      </c>
      <c r="E457" s="164" t="s">
        <v>3183</v>
      </c>
      <c r="F457" s="164" t="s">
        <v>3184</v>
      </c>
      <c r="G457" s="0" t="s">
        <v>22</v>
      </c>
      <c r="H457" s="0" t="s">
        <v>22</v>
      </c>
      <c r="I457" s="164" t="s">
        <v>1643</v>
      </c>
    </row>
    <row customHeight="1" ht="11.25">
      <c r="A458" s="164" t="s">
        <v>2270</v>
      </c>
      <c r="B458" s="164" t="s">
        <v>16</v>
      </c>
      <c r="C458" s="164" t="s">
        <v>2696</v>
      </c>
      <c r="D458" s="164" t="s">
        <v>2697</v>
      </c>
      <c r="E458" s="164" t="s">
        <v>2698</v>
      </c>
      <c r="F458" s="164" t="s">
        <v>2392</v>
      </c>
      <c r="G458" s="0" t="s">
        <v>22</v>
      </c>
      <c r="H458" s="0" t="s">
        <v>22</v>
      </c>
      <c r="I458" s="164" t="s">
        <v>1643</v>
      </c>
    </row>
    <row customHeight="1" ht="11.25">
      <c r="A459" s="164" t="s">
        <v>2270</v>
      </c>
      <c r="B459" s="164" t="s">
        <v>16</v>
      </c>
      <c r="C459" s="164" t="s">
        <v>3185</v>
      </c>
      <c r="D459" s="164" t="s">
        <v>3186</v>
      </c>
      <c r="E459" s="164" t="s">
        <v>3187</v>
      </c>
      <c r="F459" s="164" t="s">
        <v>3188</v>
      </c>
      <c r="G459" s="0" t="s">
        <v>22</v>
      </c>
      <c r="H459" s="0" t="s">
        <v>22</v>
      </c>
      <c r="I459" s="164" t="s">
        <v>1643</v>
      </c>
    </row>
    <row customHeight="1" ht="11.25">
      <c r="A460" s="164" t="s">
        <v>2270</v>
      </c>
      <c r="B460" s="164" t="s">
        <v>16</v>
      </c>
      <c r="C460" s="164" t="s">
        <v>3189</v>
      </c>
      <c r="D460" s="164" t="s">
        <v>3190</v>
      </c>
      <c r="E460" s="164" t="s">
        <v>3191</v>
      </c>
      <c r="F460" s="164" t="s">
        <v>2353</v>
      </c>
      <c r="G460" s="0" t="s">
        <v>22</v>
      </c>
      <c r="H460" s="0" t="s">
        <v>22</v>
      </c>
      <c r="I460" s="164" t="s">
        <v>1643</v>
      </c>
    </row>
    <row customHeight="1" ht="11.25">
      <c r="A461" s="164" t="s">
        <v>2270</v>
      </c>
      <c r="B461" s="164" t="s">
        <v>16</v>
      </c>
      <c r="C461" s="164" t="s">
        <v>3192</v>
      </c>
      <c r="D461" s="164" t="s">
        <v>3193</v>
      </c>
      <c r="E461" s="164" t="s">
        <v>3194</v>
      </c>
      <c r="F461" s="164" t="s">
        <v>2779</v>
      </c>
      <c r="G461" s="0" t="s">
        <v>22</v>
      </c>
      <c r="H461" s="0" t="s">
        <v>22</v>
      </c>
      <c r="I461" s="164" t="s">
        <v>1643</v>
      </c>
    </row>
    <row customHeight="1" ht="11.25">
      <c r="A462" s="164" t="s">
        <v>2270</v>
      </c>
      <c r="B462" s="164" t="s">
        <v>16</v>
      </c>
      <c r="C462" s="164" t="s">
        <v>3195</v>
      </c>
      <c r="D462" s="164" t="s">
        <v>3196</v>
      </c>
      <c r="E462" s="164" t="s">
        <v>3197</v>
      </c>
      <c r="F462" s="164" t="s">
        <v>3198</v>
      </c>
      <c r="G462" s="164" t="s">
        <v>3199</v>
      </c>
      <c r="H462" s="0" t="s">
        <v>22</v>
      </c>
      <c r="I462" s="164"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B8D58-6C7D-6938-27AE-DC5459730125}"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164" t="s">
        <v>3200</v>
      </c>
      <c r="B1" s="164" t="s">
        <v>3201</v>
      </c>
      <c r="C1" s="164" t="s">
        <v>3202</v>
      </c>
      <c r="D1" s="164" t="s">
        <v>3203</v>
      </c>
      <c r="E1" s="164" t="s">
        <v>3204</v>
      </c>
      <c r="F1" s="164" t="s">
        <v>3205</v>
      </c>
      <c r="G1" s="164" t="s">
        <v>3206</v>
      </c>
    </row>
    <row customHeight="1" ht="11.25">
      <c r="A2" s="164" t="s">
        <v>16</v>
      </c>
      <c r="B2" s="0" t="s">
        <v>3207</v>
      </c>
      <c r="C2" s="0" t="s">
        <v>3208</v>
      </c>
      <c r="D2" s="0" t="s">
        <v>3207</v>
      </c>
      <c r="E2" s="0" t="s">
        <v>3208</v>
      </c>
      <c r="F2" s="0" t="s">
        <v>3209</v>
      </c>
      <c r="G2" s="0" t="s">
        <v>107</v>
      </c>
    </row>
    <row customHeight="1" ht="11.25">
      <c r="A3" s="164" t="s">
        <v>16</v>
      </c>
      <c r="B3" s="0" t="s">
        <v>3207</v>
      </c>
      <c r="C3" s="0" t="s">
        <v>3208</v>
      </c>
      <c r="D3" s="0" t="s">
        <v>3210</v>
      </c>
      <c r="E3" s="0" t="s">
        <v>3211</v>
      </c>
      <c r="F3" s="0" t="s">
        <v>3212</v>
      </c>
      <c r="G3" s="0" t="s">
        <v>108</v>
      </c>
    </row>
    <row customHeight="1" ht="11.25">
      <c r="A4" s="164" t="s">
        <v>16</v>
      </c>
      <c r="B4" s="0" t="s">
        <v>3207</v>
      </c>
      <c r="C4" s="0" t="s">
        <v>3208</v>
      </c>
      <c r="D4" s="0" t="s">
        <v>3213</v>
      </c>
      <c r="E4" s="0" t="s">
        <v>3214</v>
      </c>
      <c r="F4" s="0" t="s">
        <v>3212</v>
      </c>
      <c r="G4" s="0" t="s">
        <v>88</v>
      </c>
    </row>
    <row customHeight="1" ht="11.25">
      <c r="A5" s="164" t="s">
        <v>16</v>
      </c>
      <c r="B5" s="0" t="s">
        <v>3215</v>
      </c>
      <c r="C5" s="0" t="s">
        <v>3216</v>
      </c>
      <c r="D5" s="0" t="s">
        <v>3215</v>
      </c>
      <c r="E5" s="0" t="s">
        <v>3216</v>
      </c>
      <c r="F5" s="0" t="s">
        <v>3209</v>
      </c>
      <c r="G5" s="0" t="s">
        <v>89</v>
      </c>
    </row>
    <row customHeight="1" ht="11.25">
      <c r="A6" s="164" t="s">
        <v>16</v>
      </c>
      <c r="B6" s="0" t="s">
        <v>3215</v>
      </c>
      <c r="C6" s="0" t="s">
        <v>3216</v>
      </c>
      <c r="D6" s="0" t="s">
        <v>3217</v>
      </c>
      <c r="E6" s="0" t="s">
        <v>3218</v>
      </c>
      <c r="F6" s="0" t="s">
        <v>3212</v>
      </c>
      <c r="G6" s="0" t="s">
        <v>109</v>
      </c>
    </row>
    <row customHeight="1" ht="11.25">
      <c r="A7" s="164" t="s">
        <v>16</v>
      </c>
      <c r="B7" s="0" t="s">
        <v>3215</v>
      </c>
      <c r="C7" s="0" t="s">
        <v>3216</v>
      </c>
      <c r="D7" s="0" t="s">
        <v>3219</v>
      </c>
      <c r="E7" s="0" t="s">
        <v>3220</v>
      </c>
      <c r="F7" s="0" t="s">
        <v>3221</v>
      </c>
      <c r="G7" s="0" t="s">
        <v>90</v>
      </c>
    </row>
    <row customHeight="1" ht="11.25">
      <c r="A8" s="164" t="s">
        <v>16</v>
      </c>
      <c r="B8" s="0" t="s">
        <v>3215</v>
      </c>
      <c r="C8" s="0" t="s">
        <v>3216</v>
      </c>
      <c r="D8" s="0" t="s">
        <v>3222</v>
      </c>
      <c r="E8" s="0" t="s">
        <v>3223</v>
      </c>
      <c r="F8" s="0" t="s">
        <v>3212</v>
      </c>
      <c r="G8" s="0" t="s">
        <v>91</v>
      </c>
    </row>
    <row customHeight="1" ht="11.25">
      <c r="A9" s="164" t="s">
        <v>16</v>
      </c>
      <c r="B9" s="0" t="s">
        <v>3215</v>
      </c>
      <c r="C9" s="0" t="s">
        <v>3216</v>
      </c>
      <c r="D9" s="0" t="s">
        <v>3224</v>
      </c>
      <c r="E9" s="0" t="s">
        <v>3225</v>
      </c>
      <c r="F9" s="0" t="s">
        <v>3212</v>
      </c>
      <c r="G9" s="0" t="s">
        <v>110</v>
      </c>
    </row>
    <row customHeight="1" ht="11.25">
      <c r="A10" s="164" t="s">
        <v>16</v>
      </c>
      <c r="B10" s="0" t="s">
        <v>3215</v>
      </c>
      <c r="C10" s="0" t="s">
        <v>3216</v>
      </c>
      <c r="D10" s="0" t="s">
        <v>3226</v>
      </c>
      <c r="E10" s="0" t="s">
        <v>3227</v>
      </c>
      <c r="F10" s="0" t="s">
        <v>3212</v>
      </c>
      <c r="G10" s="0" t="s">
        <v>134</v>
      </c>
    </row>
    <row customHeight="1" ht="11.25">
      <c r="A11" s="164" t="s">
        <v>16</v>
      </c>
      <c r="B11" s="0" t="s">
        <v>3215</v>
      </c>
      <c r="C11" s="0" t="s">
        <v>3216</v>
      </c>
      <c r="D11" s="0" t="s">
        <v>3228</v>
      </c>
      <c r="E11" s="0" t="s">
        <v>3229</v>
      </c>
      <c r="F11" s="0" t="s">
        <v>3212</v>
      </c>
      <c r="G11" s="0" t="s">
        <v>166</v>
      </c>
    </row>
    <row customHeight="1" ht="11.25">
      <c r="A12" s="164" t="s">
        <v>16</v>
      </c>
      <c r="B12" s="0" t="s">
        <v>3215</v>
      </c>
      <c r="C12" s="0" t="s">
        <v>3216</v>
      </c>
      <c r="D12" s="0" t="s">
        <v>3230</v>
      </c>
      <c r="E12" s="0" t="s">
        <v>3231</v>
      </c>
      <c r="F12" s="0" t="s">
        <v>3212</v>
      </c>
      <c r="G12" s="0" t="s">
        <v>167</v>
      </c>
    </row>
    <row customHeight="1" ht="11.25">
      <c r="A13" s="164" t="s">
        <v>16</v>
      </c>
      <c r="B13" s="0" t="s">
        <v>3232</v>
      </c>
      <c r="C13" s="0" t="s">
        <v>3233</v>
      </c>
      <c r="D13" s="0" t="s">
        <v>3232</v>
      </c>
      <c r="E13" s="0" t="s">
        <v>3233</v>
      </c>
      <c r="F13" s="0" t="s">
        <v>3209</v>
      </c>
      <c r="G13" s="0" t="s">
        <v>168</v>
      </c>
    </row>
    <row customHeight="1" ht="11.25">
      <c r="A14" s="164" t="s">
        <v>16</v>
      </c>
      <c r="B14" s="0" t="s">
        <v>3232</v>
      </c>
      <c r="C14" s="0" t="s">
        <v>3233</v>
      </c>
      <c r="D14" s="0" t="s">
        <v>3234</v>
      </c>
      <c r="E14" s="0" t="s">
        <v>3235</v>
      </c>
      <c r="F14" s="0" t="s">
        <v>3221</v>
      </c>
      <c r="G14" s="0" t="s">
        <v>169</v>
      </c>
    </row>
    <row customHeight="1" ht="11.25">
      <c r="A15" s="164" t="s">
        <v>16</v>
      </c>
      <c r="B15" s="0" t="s">
        <v>3232</v>
      </c>
      <c r="C15" s="0" t="s">
        <v>3233</v>
      </c>
      <c r="D15" s="0" t="s">
        <v>3236</v>
      </c>
      <c r="E15" s="0" t="s">
        <v>3237</v>
      </c>
      <c r="F15" s="0" t="s">
        <v>3212</v>
      </c>
      <c r="G15" s="0" t="s">
        <v>170</v>
      </c>
    </row>
    <row customHeight="1" ht="11.25">
      <c r="A16" s="164" t="s">
        <v>16</v>
      </c>
      <c r="B16" s="0" t="s">
        <v>3232</v>
      </c>
      <c r="C16" s="0" t="s">
        <v>3233</v>
      </c>
      <c r="D16" s="0" t="s">
        <v>3238</v>
      </c>
      <c r="E16" s="0" t="s">
        <v>3239</v>
      </c>
      <c r="F16" s="0" t="s">
        <v>3212</v>
      </c>
      <c r="G16" s="0" t="s">
        <v>1486</v>
      </c>
    </row>
    <row customHeight="1" ht="11.25">
      <c r="A17" s="164" t="s">
        <v>16</v>
      </c>
      <c r="B17" s="0" t="s">
        <v>3232</v>
      </c>
      <c r="C17" s="0" t="s">
        <v>3233</v>
      </c>
      <c r="D17" s="0" t="s">
        <v>3240</v>
      </c>
      <c r="E17" s="0" t="s">
        <v>3241</v>
      </c>
      <c r="F17" s="0" t="s">
        <v>3212</v>
      </c>
      <c r="G17" s="0" t="s">
        <v>1492</v>
      </c>
    </row>
    <row customHeight="1" ht="11.25">
      <c r="A18" s="164" t="s">
        <v>16</v>
      </c>
      <c r="B18" s="0" t="s">
        <v>3232</v>
      </c>
      <c r="C18" s="0" t="s">
        <v>3233</v>
      </c>
      <c r="D18" s="0" t="s">
        <v>3242</v>
      </c>
      <c r="E18" s="0" t="s">
        <v>3243</v>
      </c>
      <c r="F18" s="0" t="s">
        <v>3212</v>
      </c>
      <c r="G18" s="0" t="s">
        <v>1504</v>
      </c>
    </row>
    <row customHeight="1" ht="11.25">
      <c r="A19" s="164" t="s">
        <v>16</v>
      </c>
      <c r="B19" s="0" t="s">
        <v>3232</v>
      </c>
      <c r="C19" s="0" t="s">
        <v>3233</v>
      </c>
      <c r="D19" s="0" t="s">
        <v>3244</v>
      </c>
      <c r="E19" s="0" t="s">
        <v>3245</v>
      </c>
      <c r="F19" s="0" t="s">
        <v>3212</v>
      </c>
      <c r="G19" s="0" t="s">
        <v>1518</v>
      </c>
    </row>
    <row customHeight="1" ht="11.25">
      <c r="A20" s="164" t="s">
        <v>16</v>
      </c>
      <c r="B20" s="0" t="s">
        <v>3232</v>
      </c>
      <c r="C20" s="0" t="s">
        <v>3233</v>
      </c>
      <c r="D20" s="0" t="s">
        <v>3246</v>
      </c>
      <c r="E20" s="0" t="s">
        <v>3247</v>
      </c>
      <c r="F20" s="0" t="s">
        <v>3212</v>
      </c>
      <c r="G20" s="0" t="s">
        <v>1530</v>
      </c>
    </row>
    <row customHeight="1" ht="11.25">
      <c r="A21" s="164" t="s">
        <v>16</v>
      </c>
      <c r="B21" s="0" t="s">
        <v>3248</v>
      </c>
      <c r="C21" s="0" t="s">
        <v>3249</v>
      </c>
      <c r="D21" s="0" t="s">
        <v>3250</v>
      </c>
      <c r="E21" s="0" t="s">
        <v>3251</v>
      </c>
      <c r="F21" s="0" t="s">
        <v>3212</v>
      </c>
      <c r="G21" s="0" t="s">
        <v>1539</v>
      </c>
    </row>
    <row customHeight="1" ht="11.25">
      <c r="A22" s="164" t="s">
        <v>16</v>
      </c>
      <c r="B22" s="0" t="s">
        <v>3248</v>
      </c>
      <c r="C22" s="0" t="s">
        <v>3249</v>
      </c>
      <c r="D22" s="0" t="s">
        <v>3248</v>
      </c>
      <c r="E22" s="0" t="s">
        <v>3249</v>
      </c>
      <c r="F22" s="0" t="s">
        <v>3209</v>
      </c>
      <c r="G22" s="0" t="s">
        <v>1555</v>
      </c>
    </row>
    <row customHeight="1" ht="11.25">
      <c r="A23" s="164" t="s">
        <v>16</v>
      </c>
      <c r="B23" s="0" t="s">
        <v>3248</v>
      </c>
      <c r="C23" s="0" t="s">
        <v>3249</v>
      </c>
      <c r="D23" s="0" t="s">
        <v>3252</v>
      </c>
      <c r="E23" s="0" t="s">
        <v>3253</v>
      </c>
      <c r="F23" s="0" t="s">
        <v>3254</v>
      </c>
      <c r="G23" s="0" t="s">
        <v>1562</v>
      </c>
    </row>
    <row customHeight="1" ht="11.25">
      <c r="A24" s="164" t="s">
        <v>16</v>
      </c>
      <c r="B24" s="0" t="s">
        <v>3248</v>
      </c>
      <c r="C24" s="0" t="s">
        <v>3249</v>
      </c>
      <c r="D24" s="0" t="s">
        <v>3255</v>
      </c>
      <c r="E24" s="0" t="s">
        <v>3256</v>
      </c>
      <c r="F24" s="0" t="s">
        <v>3212</v>
      </c>
      <c r="G24" s="0" t="s">
        <v>1570</v>
      </c>
    </row>
    <row customHeight="1" ht="11.25">
      <c r="A25" s="164" t="s">
        <v>16</v>
      </c>
      <c r="B25" s="0" t="s">
        <v>3248</v>
      </c>
      <c r="C25" s="0" t="s">
        <v>3249</v>
      </c>
      <c r="D25" s="0" t="s">
        <v>3257</v>
      </c>
      <c r="E25" s="0" t="s">
        <v>3258</v>
      </c>
      <c r="F25" s="0" t="s">
        <v>3212</v>
      </c>
      <c r="G25" s="0" t="s">
        <v>1577</v>
      </c>
    </row>
    <row customHeight="1" ht="11.25">
      <c r="A26" s="164" t="s">
        <v>16</v>
      </c>
      <c r="B26" s="0" t="s">
        <v>3248</v>
      </c>
      <c r="C26" s="0" t="s">
        <v>3249</v>
      </c>
      <c r="D26" s="0" t="s">
        <v>3259</v>
      </c>
      <c r="E26" s="0" t="s">
        <v>3260</v>
      </c>
      <c r="F26" s="0" t="s">
        <v>3212</v>
      </c>
      <c r="G26" s="0" t="s">
        <v>1581</v>
      </c>
    </row>
    <row customHeight="1" ht="11.25">
      <c r="A27" s="164" t="s">
        <v>16</v>
      </c>
      <c r="B27" s="0" t="s">
        <v>3248</v>
      </c>
      <c r="C27" s="0" t="s">
        <v>3249</v>
      </c>
      <c r="D27" s="0" t="s">
        <v>3261</v>
      </c>
      <c r="E27" s="0" t="s">
        <v>3262</v>
      </c>
      <c r="F27" s="0" t="s">
        <v>3254</v>
      </c>
      <c r="G27" s="0" t="s">
        <v>1586</v>
      </c>
    </row>
    <row customHeight="1" ht="11.25">
      <c r="A28" s="164" t="s">
        <v>16</v>
      </c>
      <c r="B28" s="0" t="s">
        <v>3248</v>
      </c>
      <c r="C28" s="0" t="s">
        <v>3249</v>
      </c>
      <c r="D28" s="0" t="s">
        <v>3263</v>
      </c>
      <c r="E28" s="0" t="s">
        <v>3264</v>
      </c>
      <c r="F28" s="0" t="s">
        <v>3212</v>
      </c>
      <c r="G28" s="0" t="s">
        <v>1594</v>
      </c>
    </row>
    <row customHeight="1" ht="11.25">
      <c r="A29" s="164" t="s">
        <v>16</v>
      </c>
      <c r="B29" s="0" t="s">
        <v>3248</v>
      </c>
      <c r="C29" s="0" t="s">
        <v>3249</v>
      </c>
      <c r="D29" s="0" t="s">
        <v>3265</v>
      </c>
      <c r="E29" s="0" t="s">
        <v>3266</v>
      </c>
      <c r="F29" s="0" t="s">
        <v>3212</v>
      </c>
      <c r="G29" s="0" t="s">
        <v>1596</v>
      </c>
    </row>
    <row customHeight="1" ht="11.25">
      <c r="A30" s="164" t="s">
        <v>16</v>
      </c>
      <c r="B30" s="0" t="s">
        <v>3248</v>
      </c>
      <c r="C30" s="0" t="s">
        <v>3249</v>
      </c>
      <c r="D30" s="0" t="s">
        <v>3267</v>
      </c>
      <c r="E30" s="0" t="s">
        <v>3268</v>
      </c>
      <c r="F30" s="0" t="s">
        <v>3212</v>
      </c>
      <c r="G30" s="0" t="s">
        <v>1599</v>
      </c>
    </row>
    <row customHeight="1" ht="11.25">
      <c r="A31" s="164" t="s">
        <v>16</v>
      </c>
      <c r="B31" s="0" t="s">
        <v>3248</v>
      </c>
      <c r="C31" s="0" t="s">
        <v>3249</v>
      </c>
      <c r="D31" s="0" t="s">
        <v>3269</v>
      </c>
      <c r="E31" s="0" t="s">
        <v>3270</v>
      </c>
      <c r="F31" s="0" t="s">
        <v>3212</v>
      </c>
      <c r="G31" s="0" t="s">
        <v>1605</v>
      </c>
    </row>
    <row customHeight="1" ht="11.25">
      <c r="A32" s="164" t="s">
        <v>16</v>
      </c>
      <c r="B32" s="0" t="s">
        <v>3271</v>
      </c>
      <c r="C32" s="0" t="s">
        <v>3272</v>
      </c>
      <c r="D32" s="0" t="s">
        <v>3271</v>
      </c>
      <c r="E32" s="0" t="s">
        <v>3272</v>
      </c>
      <c r="F32" s="0" t="s">
        <v>3209</v>
      </c>
      <c r="G32" s="0" t="s">
        <v>1607</v>
      </c>
    </row>
    <row customHeight="1" ht="11.25">
      <c r="A33" s="164" t="s">
        <v>16</v>
      </c>
      <c r="B33" s="0" t="s">
        <v>3271</v>
      </c>
      <c r="C33" s="0" t="s">
        <v>3272</v>
      </c>
      <c r="D33" s="0" t="s">
        <v>3273</v>
      </c>
      <c r="E33" s="0" t="s">
        <v>3274</v>
      </c>
      <c r="F33" s="0" t="s">
        <v>3212</v>
      </c>
      <c r="G33" s="0" t="s">
        <v>1609</v>
      </c>
    </row>
    <row customHeight="1" ht="11.25">
      <c r="A34" s="164" t="s">
        <v>16</v>
      </c>
      <c r="B34" s="0" t="s">
        <v>3271</v>
      </c>
      <c r="C34" s="0" t="s">
        <v>3272</v>
      </c>
      <c r="D34" s="0" t="s">
        <v>3275</v>
      </c>
      <c r="E34" s="0" t="s">
        <v>3276</v>
      </c>
      <c r="F34" s="0" t="s">
        <v>3221</v>
      </c>
      <c r="G34" s="0" t="s">
        <v>1611</v>
      </c>
    </row>
    <row customHeight="1" ht="11.25">
      <c r="A35" s="164" t="s">
        <v>16</v>
      </c>
      <c r="B35" s="0" t="s">
        <v>3271</v>
      </c>
      <c r="C35" s="0" t="s">
        <v>3272</v>
      </c>
      <c r="D35" s="0" t="s">
        <v>3277</v>
      </c>
      <c r="E35" s="0" t="s">
        <v>3278</v>
      </c>
      <c r="F35" s="0" t="s">
        <v>3212</v>
      </c>
      <c r="G35" s="0" t="s">
        <v>1616</v>
      </c>
    </row>
    <row customHeight="1" ht="11.25">
      <c r="A36" s="164" t="s">
        <v>16</v>
      </c>
      <c r="B36" s="0" t="s">
        <v>3279</v>
      </c>
      <c r="C36" s="0" t="s">
        <v>3280</v>
      </c>
      <c r="D36" s="0" t="s">
        <v>3279</v>
      </c>
      <c r="E36" s="0" t="s">
        <v>3280</v>
      </c>
      <c r="F36" s="0" t="s">
        <v>3209</v>
      </c>
      <c r="G36" s="0" t="s">
        <v>1621</v>
      </c>
    </row>
    <row customHeight="1" ht="11.25">
      <c r="A37" s="164" t="s">
        <v>16</v>
      </c>
      <c r="B37" s="0" t="s">
        <v>3279</v>
      </c>
      <c r="C37" s="0" t="s">
        <v>3280</v>
      </c>
      <c r="D37" s="0" t="s">
        <v>3281</v>
      </c>
      <c r="E37" s="0" t="s">
        <v>3282</v>
      </c>
      <c r="F37" s="0" t="s">
        <v>3221</v>
      </c>
      <c r="G37" s="0" t="s">
        <v>1625</v>
      </c>
    </row>
    <row customHeight="1" ht="11.25">
      <c r="A38" s="164" t="s">
        <v>16</v>
      </c>
      <c r="B38" s="0" t="s">
        <v>3279</v>
      </c>
      <c r="C38" s="0" t="s">
        <v>3280</v>
      </c>
      <c r="D38" s="0" t="s">
        <v>3283</v>
      </c>
      <c r="E38" s="0" t="s">
        <v>3284</v>
      </c>
      <c r="F38" s="0" t="s">
        <v>3212</v>
      </c>
      <c r="G38" s="0" t="s">
        <v>1633</v>
      </c>
    </row>
    <row customHeight="1" ht="11.25">
      <c r="A39" s="164" t="s">
        <v>16</v>
      </c>
      <c r="B39" s="0" t="s">
        <v>3279</v>
      </c>
      <c r="C39" s="0" t="s">
        <v>3280</v>
      </c>
      <c r="D39" s="0" t="s">
        <v>3285</v>
      </c>
      <c r="E39" s="0" t="s">
        <v>3286</v>
      </c>
      <c r="F39" s="0" t="s">
        <v>3212</v>
      </c>
      <c r="G39" s="0" t="s">
        <v>1639</v>
      </c>
    </row>
    <row customHeight="1" ht="11.25">
      <c r="A40" s="164" t="s">
        <v>16</v>
      </c>
      <c r="B40" s="0" t="s">
        <v>3279</v>
      </c>
      <c r="C40" s="0" t="s">
        <v>3280</v>
      </c>
      <c r="D40" s="0" t="s">
        <v>3287</v>
      </c>
      <c r="E40" s="0" t="s">
        <v>3288</v>
      </c>
      <c r="F40" s="0" t="s">
        <v>3212</v>
      </c>
      <c r="G40" s="0" t="s">
        <v>1644</v>
      </c>
    </row>
    <row customHeight="1" ht="11.25">
      <c r="A41" s="164" t="s">
        <v>16</v>
      </c>
      <c r="B41" s="0" t="s">
        <v>3279</v>
      </c>
      <c r="C41" s="0" t="s">
        <v>3280</v>
      </c>
      <c r="D41" s="0" t="s">
        <v>3289</v>
      </c>
      <c r="E41" s="0" t="s">
        <v>3290</v>
      </c>
      <c r="F41" s="0" t="s">
        <v>3212</v>
      </c>
      <c r="G41" s="0" t="s">
        <v>1648</v>
      </c>
    </row>
    <row customHeight="1" ht="11.25">
      <c r="A42" s="164" t="s">
        <v>16</v>
      </c>
      <c r="B42" s="0" t="s">
        <v>3279</v>
      </c>
      <c r="C42" s="0" t="s">
        <v>3280</v>
      </c>
      <c r="D42" s="0" t="s">
        <v>3291</v>
      </c>
      <c r="E42" s="0" t="s">
        <v>3292</v>
      </c>
      <c r="F42" s="0" t="s">
        <v>3212</v>
      </c>
      <c r="G42" s="0" t="s">
        <v>1651</v>
      </c>
    </row>
    <row customHeight="1" ht="11.25">
      <c r="A43" s="164" t="s">
        <v>16</v>
      </c>
      <c r="B43" s="0" t="s">
        <v>3279</v>
      </c>
      <c r="C43" s="0" t="s">
        <v>3280</v>
      </c>
      <c r="D43" s="0" t="s">
        <v>3293</v>
      </c>
      <c r="E43" s="0" t="s">
        <v>3294</v>
      </c>
      <c r="F43" s="0" t="s">
        <v>3212</v>
      </c>
      <c r="G43" s="0" t="s">
        <v>1658</v>
      </c>
    </row>
    <row customHeight="1" ht="11.25">
      <c r="A44" s="164" t="s">
        <v>16</v>
      </c>
      <c r="B44" s="0" t="s">
        <v>3279</v>
      </c>
      <c r="C44" s="0" t="s">
        <v>3280</v>
      </c>
      <c r="D44" s="0" t="s">
        <v>3295</v>
      </c>
      <c r="E44" s="0" t="s">
        <v>3296</v>
      </c>
      <c r="F44" s="0" t="s">
        <v>3212</v>
      </c>
      <c r="G44" s="0" t="s">
        <v>1667</v>
      </c>
    </row>
    <row customHeight="1" ht="11.25">
      <c r="A45" s="164" t="s">
        <v>16</v>
      </c>
      <c r="B45" s="0" t="s">
        <v>3279</v>
      </c>
      <c r="C45" s="0" t="s">
        <v>3280</v>
      </c>
      <c r="D45" s="0" t="s">
        <v>3297</v>
      </c>
      <c r="E45" s="0" t="s">
        <v>3298</v>
      </c>
      <c r="F45" s="0" t="s">
        <v>3254</v>
      </c>
      <c r="G45" s="0" t="s">
        <v>1672</v>
      </c>
    </row>
    <row customHeight="1" ht="11.25">
      <c r="A46" s="164" t="s">
        <v>16</v>
      </c>
      <c r="B46" s="0" t="s">
        <v>3279</v>
      </c>
      <c r="C46" s="0" t="s">
        <v>3280</v>
      </c>
      <c r="D46" s="0" t="s">
        <v>3299</v>
      </c>
      <c r="E46" s="0" t="s">
        <v>3300</v>
      </c>
      <c r="F46" s="0" t="s">
        <v>3212</v>
      </c>
      <c r="G46" s="0" t="s">
        <v>1676</v>
      </c>
    </row>
    <row customHeight="1" ht="11.25">
      <c r="A47" s="164" t="s">
        <v>16</v>
      </c>
      <c r="B47" s="0" t="s">
        <v>3279</v>
      </c>
      <c r="C47" s="0" t="s">
        <v>3280</v>
      </c>
      <c r="D47" s="0" t="s">
        <v>3301</v>
      </c>
      <c r="E47" s="0" t="s">
        <v>3302</v>
      </c>
      <c r="F47" s="0" t="s">
        <v>3212</v>
      </c>
      <c r="G47" s="0" t="s">
        <v>1681</v>
      </c>
    </row>
    <row customHeight="1" ht="11.25">
      <c r="A48" s="164" t="s">
        <v>16</v>
      </c>
      <c r="B48" s="0" t="s">
        <v>3279</v>
      </c>
      <c r="C48" s="0" t="s">
        <v>3280</v>
      </c>
      <c r="D48" s="0" t="s">
        <v>3303</v>
      </c>
      <c r="E48" s="0" t="s">
        <v>3304</v>
      </c>
      <c r="F48" s="0" t="s">
        <v>3212</v>
      </c>
      <c r="G48" s="0" t="s">
        <v>1686</v>
      </c>
    </row>
    <row customHeight="1" ht="11.25">
      <c r="A49" s="164" t="s">
        <v>16</v>
      </c>
      <c r="B49" s="0" t="s">
        <v>3279</v>
      </c>
      <c r="C49" s="0" t="s">
        <v>3280</v>
      </c>
      <c r="D49" s="0" t="s">
        <v>3305</v>
      </c>
      <c r="E49" s="0" t="s">
        <v>3306</v>
      </c>
      <c r="F49" s="0" t="s">
        <v>3212</v>
      </c>
      <c r="G49" s="0" t="s">
        <v>1689</v>
      </c>
    </row>
    <row customHeight="1" ht="11.25">
      <c r="A50" s="164" t="s">
        <v>16</v>
      </c>
      <c r="B50" s="0" t="s">
        <v>3279</v>
      </c>
      <c r="C50" s="0" t="s">
        <v>3280</v>
      </c>
      <c r="D50" s="0" t="s">
        <v>3307</v>
      </c>
      <c r="E50" s="0" t="s">
        <v>3308</v>
      </c>
      <c r="F50" s="0" t="s">
        <v>3212</v>
      </c>
      <c r="G50" s="0" t="s">
        <v>1693</v>
      </c>
    </row>
    <row customHeight="1" ht="11.25">
      <c r="A51" s="164" t="s">
        <v>16</v>
      </c>
      <c r="B51" s="0" t="s">
        <v>3279</v>
      </c>
      <c r="C51" s="0" t="s">
        <v>3280</v>
      </c>
      <c r="D51" s="0" t="s">
        <v>3309</v>
      </c>
      <c r="E51" s="0" t="s">
        <v>3310</v>
      </c>
      <c r="F51" s="0" t="s">
        <v>3212</v>
      </c>
      <c r="G51" s="0" t="s">
        <v>1698</v>
      </c>
    </row>
    <row customHeight="1" ht="11.25">
      <c r="A52" s="164" t="s">
        <v>16</v>
      </c>
      <c r="B52" s="0" t="s">
        <v>3279</v>
      </c>
      <c r="C52" s="0" t="s">
        <v>3280</v>
      </c>
      <c r="D52" s="0" t="s">
        <v>3311</v>
      </c>
      <c r="E52" s="0" t="s">
        <v>3312</v>
      </c>
      <c r="F52" s="0" t="s">
        <v>3212</v>
      </c>
      <c r="G52" s="0" t="s">
        <v>1702</v>
      </c>
    </row>
    <row customHeight="1" ht="11.25">
      <c r="A53" s="164" t="s">
        <v>16</v>
      </c>
      <c r="B53" s="0" t="s">
        <v>3313</v>
      </c>
      <c r="C53" s="0" t="s">
        <v>3314</v>
      </c>
      <c r="D53" s="0" t="s">
        <v>3313</v>
      </c>
      <c r="E53" s="0" t="s">
        <v>3314</v>
      </c>
      <c r="F53" s="0" t="s">
        <v>3209</v>
      </c>
      <c r="G53" s="0" t="s">
        <v>1704</v>
      </c>
    </row>
    <row customHeight="1" ht="11.25">
      <c r="A54" s="164" t="s">
        <v>16</v>
      </c>
      <c r="B54" s="0" t="s">
        <v>3313</v>
      </c>
      <c r="C54" s="0" t="s">
        <v>3314</v>
      </c>
      <c r="D54" s="0" t="s">
        <v>3315</v>
      </c>
      <c r="E54" s="0" t="s">
        <v>3316</v>
      </c>
      <c r="F54" s="0" t="s">
        <v>3212</v>
      </c>
      <c r="G54" s="0" t="s">
        <v>1707</v>
      </c>
    </row>
    <row customHeight="1" ht="11.25">
      <c r="A55" s="164" t="s">
        <v>16</v>
      </c>
      <c r="B55" s="0" t="s">
        <v>3313</v>
      </c>
      <c r="C55" s="0" t="s">
        <v>3314</v>
      </c>
      <c r="D55" s="0" t="s">
        <v>3317</v>
      </c>
      <c r="E55" s="0" t="s">
        <v>3318</v>
      </c>
      <c r="F55" s="0" t="s">
        <v>3212</v>
      </c>
      <c r="G55" s="0" t="s">
        <v>1711</v>
      </c>
    </row>
    <row customHeight="1" ht="11.25">
      <c r="A56" s="164" t="s">
        <v>16</v>
      </c>
      <c r="B56" s="0" t="s">
        <v>3313</v>
      </c>
      <c r="C56" s="0" t="s">
        <v>3314</v>
      </c>
      <c r="D56" s="0" t="s">
        <v>3319</v>
      </c>
      <c r="E56" s="0" t="s">
        <v>3320</v>
      </c>
      <c r="F56" s="0" t="s">
        <v>3212</v>
      </c>
      <c r="G56" s="0" t="s">
        <v>1715</v>
      </c>
    </row>
    <row customHeight="1" ht="11.25">
      <c r="A57" s="164" t="s">
        <v>16</v>
      </c>
      <c r="B57" s="0" t="s">
        <v>3313</v>
      </c>
      <c r="C57" s="0" t="s">
        <v>3314</v>
      </c>
      <c r="D57" s="0" t="s">
        <v>3321</v>
      </c>
      <c r="E57" s="0" t="s">
        <v>3322</v>
      </c>
      <c r="F57" s="0" t="s">
        <v>3212</v>
      </c>
      <c r="G57" s="0" t="s">
        <v>1718</v>
      </c>
    </row>
    <row customHeight="1" ht="11.25">
      <c r="A58" s="164" t="s">
        <v>16</v>
      </c>
      <c r="B58" s="0" t="s">
        <v>3323</v>
      </c>
      <c r="C58" s="0" t="s">
        <v>3324</v>
      </c>
      <c r="D58" s="0" t="s">
        <v>3236</v>
      </c>
      <c r="E58" s="0" t="s">
        <v>3325</v>
      </c>
      <c r="F58" s="0" t="s">
        <v>3212</v>
      </c>
      <c r="G58" s="0" t="s">
        <v>1721</v>
      </c>
    </row>
    <row customHeight="1" ht="11.25">
      <c r="A59" s="164" t="s">
        <v>16</v>
      </c>
      <c r="B59" s="0" t="s">
        <v>3323</v>
      </c>
      <c r="C59" s="0" t="s">
        <v>3324</v>
      </c>
      <c r="D59" s="0" t="s">
        <v>3326</v>
      </c>
      <c r="E59" s="0" t="s">
        <v>3327</v>
      </c>
      <c r="F59" s="0" t="s">
        <v>3212</v>
      </c>
      <c r="G59" s="0" t="s">
        <v>1725</v>
      </c>
    </row>
    <row customHeight="1" ht="11.25">
      <c r="A60" s="164" t="s">
        <v>16</v>
      </c>
      <c r="B60" s="0" t="s">
        <v>3323</v>
      </c>
      <c r="C60" s="0" t="s">
        <v>3324</v>
      </c>
      <c r="D60" s="0" t="s">
        <v>3328</v>
      </c>
      <c r="E60" s="0" t="s">
        <v>3329</v>
      </c>
      <c r="F60" s="0" t="s">
        <v>3212</v>
      </c>
      <c r="G60" s="0" t="s">
        <v>1728</v>
      </c>
    </row>
    <row customHeight="1" ht="11.25">
      <c r="A61" s="164" t="s">
        <v>16</v>
      </c>
      <c r="B61" s="0" t="s">
        <v>3323</v>
      </c>
      <c r="C61" s="0" t="s">
        <v>3324</v>
      </c>
      <c r="D61" s="0" t="s">
        <v>3323</v>
      </c>
      <c r="E61" s="0" t="s">
        <v>3324</v>
      </c>
      <c r="F61" s="0" t="s">
        <v>3209</v>
      </c>
      <c r="G61" s="0" t="s">
        <v>3330</v>
      </c>
    </row>
    <row customHeight="1" ht="11.25">
      <c r="A62" s="164" t="s">
        <v>16</v>
      </c>
      <c r="B62" s="0" t="s">
        <v>3323</v>
      </c>
      <c r="C62" s="0" t="s">
        <v>3324</v>
      </c>
      <c r="D62" s="0" t="s">
        <v>3331</v>
      </c>
      <c r="E62" s="0" t="s">
        <v>3332</v>
      </c>
      <c r="F62" s="0" t="s">
        <v>3221</v>
      </c>
      <c r="G62" s="0" t="s">
        <v>3333</v>
      </c>
    </row>
    <row customHeight="1" ht="11.25">
      <c r="A63" s="164" t="s">
        <v>16</v>
      </c>
      <c r="B63" s="0" t="s">
        <v>3323</v>
      </c>
      <c r="C63" s="0" t="s">
        <v>3324</v>
      </c>
      <c r="D63" s="0" t="s">
        <v>3334</v>
      </c>
      <c r="E63" s="0" t="s">
        <v>3335</v>
      </c>
      <c r="F63" s="0" t="s">
        <v>3212</v>
      </c>
      <c r="G63" s="0" t="s">
        <v>3336</v>
      </c>
    </row>
    <row customHeight="1" ht="11.25">
      <c r="A64" s="164" t="s">
        <v>16</v>
      </c>
      <c r="B64" s="0" t="s">
        <v>3323</v>
      </c>
      <c r="C64" s="0" t="s">
        <v>3324</v>
      </c>
      <c r="D64" s="0" t="s">
        <v>3337</v>
      </c>
      <c r="E64" s="0" t="s">
        <v>3338</v>
      </c>
      <c r="F64" s="0" t="s">
        <v>3212</v>
      </c>
      <c r="G64" s="0" t="s">
        <v>3339</v>
      </c>
    </row>
    <row customHeight="1" ht="11.25">
      <c r="A65" s="164" t="s">
        <v>16</v>
      </c>
      <c r="B65" s="0" t="s">
        <v>3323</v>
      </c>
      <c r="C65" s="0" t="s">
        <v>3324</v>
      </c>
      <c r="D65" s="0" t="s">
        <v>3340</v>
      </c>
      <c r="E65" s="0" t="s">
        <v>3341</v>
      </c>
      <c r="F65" s="0" t="s">
        <v>3212</v>
      </c>
      <c r="G65" s="0" t="s">
        <v>3342</v>
      </c>
    </row>
    <row customHeight="1" ht="11.25">
      <c r="A66" s="164" t="s">
        <v>16</v>
      </c>
      <c r="B66" s="0" t="s">
        <v>3323</v>
      </c>
      <c r="C66" s="0" t="s">
        <v>3324</v>
      </c>
      <c r="D66" s="0" t="s">
        <v>3343</v>
      </c>
      <c r="E66" s="0" t="s">
        <v>3344</v>
      </c>
      <c r="F66" s="0" t="s">
        <v>3212</v>
      </c>
      <c r="G66" s="0" t="s">
        <v>3345</v>
      </c>
    </row>
    <row customHeight="1" ht="11.25">
      <c r="A67" s="164" t="s">
        <v>16</v>
      </c>
      <c r="B67" s="0" t="s">
        <v>3323</v>
      </c>
      <c r="C67" s="0" t="s">
        <v>3324</v>
      </c>
      <c r="D67" s="0" t="s">
        <v>3346</v>
      </c>
      <c r="E67" s="0" t="s">
        <v>3347</v>
      </c>
      <c r="F67" s="0" t="s">
        <v>3212</v>
      </c>
      <c r="G67" s="0" t="s">
        <v>2044</v>
      </c>
    </row>
    <row customHeight="1" ht="11.25">
      <c r="A68" s="164" t="s">
        <v>16</v>
      </c>
      <c r="B68" s="0" t="s">
        <v>3323</v>
      </c>
      <c r="C68" s="0" t="s">
        <v>3324</v>
      </c>
      <c r="D68" s="0" t="s">
        <v>3348</v>
      </c>
      <c r="E68" s="0" t="s">
        <v>3349</v>
      </c>
      <c r="F68" s="0" t="s">
        <v>3212</v>
      </c>
      <c r="G68" s="0" t="s">
        <v>3350</v>
      </c>
    </row>
    <row customHeight="1" ht="11.25">
      <c r="A69" s="164" t="s">
        <v>16</v>
      </c>
      <c r="B69" s="0" t="s">
        <v>3323</v>
      </c>
      <c r="C69" s="0" t="s">
        <v>3324</v>
      </c>
      <c r="D69" s="0" t="s">
        <v>3351</v>
      </c>
      <c r="E69" s="0" t="s">
        <v>3352</v>
      </c>
      <c r="F69" s="0" t="s">
        <v>3254</v>
      </c>
      <c r="G69" s="0" t="s">
        <v>2247</v>
      </c>
    </row>
    <row customHeight="1" ht="11.25">
      <c r="A70" s="164" t="s">
        <v>16</v>
      </c>
      <c r="B70" s="0" t="s">
        <v>3323</v>
      </c>
      <c r="C70" s="0" t="s">
        <v>3324</v>
      </c>
      <c r="D70" s="0" t="s">
        <v>3353</v>
      </c>
      <c r="E70" s="0" t="s">
        <v>3354</v>
      </c>
      <c r="F70" s="0" t="s">
        <v>3212</v>
      </c>
      <c r="G70" s="0" t="s">
        <v>3355</v>
      </c>
    </row>
    <row customHeight="1" ht="11.25">
      <c r="A71" s="164" t="s">
        <v>16</v>
      </c>
      <c r="B71" s="0" t="s">
        <v>3323</v>
      </c>
      <c r="C71" s="0" t="s">
        <v>3324</v>
      </c>
      <c r="D71" s="0" t="s">
        <v>3356</v>
      </c>
      <c r="E71" s="0" t="s">
        <v>3357</v>
      </c>
      <c r="F71" s="0" t="s">
        <v>3212</v>
      </c>
      <c r="G71" s="0" t="s">
        <v>3358</v>
      </c>
    </row>
    <row customHeight="1" ht="11.25">
      <c r="A72" s="164" t="s">
        <v>16</v>
      </c>
      <c r="B72" s="0" t="s">
        <v>3323</v>
      </c>
      <c r="C72" s="0" t="s">
        <v>3324</v>
      </c>
      <c r="D72" s="0" t="s">
        <v>3359</v>
      </c>
      <c r="E72" s="0" t="s">
        <v>3360</v>
      </c>
      <c r="F72" s="0" t="s">
        <v>3212</v>
      </c>
      <c r="G72" s="0" t="s">
        <v>3361</v>
      </c>
    </row>
    <row customHeight="1" ht="11.25">
      <c r="A73" s="164" t="s">
        <v>16</v>
      </c>
      <c r="B73" s="0" t="s">
        <v>3323</v>
      </c>
      <c r="C73" s="0" t="s">
        <v>3324</v>
      </c>
      <c r="D73" s="0" t="s">
        <v>3362</v>
      </c>
      <c r="E73" s="0" t="s">
        <v>3363</v>
      </c>
      <c r="F73" s="0" t="s">
        <v>3212</v>
      </c>
      <c r="G73" s="0" t="s">
        <v>3364</v>
      </c>
    </row>
    <row customHeight="1" ht="11.25">
      <c r="A74" s="164" t="s">
        <v>16</v>
      </c>
      <c r="B74" s="0" t="s">
        <v>3365</v>
      </c>
      <c r="C74" s="0" t="s">
        <v>3366</v>
      </c>
      <c r="D74" s="0" t="s">
        <v>3365</v>
      </c>
      <c r="E74" s="0" t="s">
        <v>3366</v>
      </c>
      <c r="F74" s="0" t="s">
        <v>3209</v>
      </c>
      <c r="G74" s="0" t="s">
        <v>3367</v>
      </c>
    </row>
    <row customHeight="1" ht="11.25">
      <c r="A75" s="164" t="s">
        <v>16</v>
      </c>
      <c r="B75" s="0" t="s">
        <v>3365</v>
      </c>
      <c r="C75" s="0" t="s">
        <v>3366</v>
      </c>
      <c r="D75" s="0" t="s">
        <v>3368</v>
      </c>
      <c r="E75" s="0" t="s">
        <v>3369</v>
      </c>
      <c r="F75" s="0" t="s">
        <v>3212</v>
      </c>
      <c r="G75" s="0" t="s">
        <v>3370</v>
      </c>
    </row>
    <row customHeight="1" ht="11.25">
      <c r="A76" s="164" t="s">
        <v>16</v>
      </c>
      <c r="B76" s="0" t="s">
        <v>3365</v>
      </c>
      <c r="C76" s="0" t="s">
        <v>3366</v>
      </c>
      <c r="D76" s="0" t="s">
        <v>3371</v>
      </c>
      <c r="E76" s="0" t="s">
        <v>3372</v>
      </c>
      <c r="F76" s="0" t="s">
        <v>3212</v>
      </c>
      <c r="G76" s="0" t="s">
        <v>3373</v>
      </c>
    </row>
    <row customHeight="1" ht="11.25">
      <c r="A77" s="164" t="s">
        <v>16</v>
      </c>
      <c r="B77" s="0" t="s">
        <v>3365</v>
      </c>
      <c r="C77" s="0" t="s">
        <v>3366</v>
      </c>
      <c r="D77" s="0" t="s">
        <v>3374</v>
      </c>
      <c r="E77" s="0" t="s">
        <v>3375</v>
      </c>
      <c r="F77" s="0" t="s">
        <v>3212</v>
      </c>
      <c r="G77" s="0" t="s">
        <v>3376</v>
      </c>
    </row>
    <row customHeight="1" ht="11.25">
      <c r="A78" s="164" t="s">
        <v>16</v>
      </c>
      <c r="B78" s="0" t="s">
        <v>98</v>
      </c>
      <c r="C78" s="0" t="s">
        <v>99</v>
      </c>
      <c r="D78" s="0" t="s">
        <v>98</v>
      </c>
      <c r="E78" s="0" t="s">
        <v>99</v>
      </c>
      <c r="F78" s="0" t="s">
        <v>3377</v>
      </c>
      <c r="G78" s="0" t="s">
        <v>97</v>
      </c>
    </row>
    <row customHeight="1" ht="11.25">
      <c r="A79" s="164" t="s">
        <v>16</v>
      </c>
      <c r="B79" s="0" t="s">
        <v>3378</v>
      </c>
      <c r="C79" s="0" t="s">
        <v>3379</v>
      </c>
      <c r="D79" s="0" t="s">
        <v>3380</v>
      </c>
      <c r="E79" s="0" t="s">
        <v>3381</v>
      </c>
      <c r="F79" s="0" t="s">
        <v>3212</v>
      </c>
      <c r="G79" s="0" t="s">
        <v>3382</v>
      </c>
    </row>
    <row customHeight="1" ht="11.25">
      <c r="A80" s="164" t="s">
        <v>16</v>
      </c>
      <c r="B80" s="0" t="s">
        <v>3378</v>
      </c>
      <c r="C80" s="0" t="s">
        <v>3379</v>
      </c>
      <c r="D80" s="0" t="s">
        <v>3383</v>
      </c>
      <c r="E80" s="0" t="s">
        <v>3384</v>
      </c>
      <c r="F80" s="0" t="s">
        <v>3212</v>
      </c>
      <c r="G80" s="0" t="s">
        <v>3385</v>
      </c>
    </row>
    <row customHeight="1" ht="11.25">
      <c r="A81" s="164" t="s">
        <v>16</v>
      </c>
      <c r="B81" s="0" t="s">
        <v>3378</v>
      </c>
      <c r="C81" s="0" t="s">
        <v>3379</v>
      </c>
      <c r="D81" s="0" t="s">
        <v>3386</v>
      </c>
      <c r="E81" s="0" t="s">
        <v>3387</v>
      </c>
      <c r="F81" s="0" t="s">
        <v>3212</v>
      </c>
      <c r="G81" s="0" t="s">
        <v>3388</v>
      </c>
    </row>
    <row customHeight="1" ht="11.25">
      <c r="A82" s="164" t="s">
        <v>16</v>
      </c>
      <c r="B82" s="0" t="s">
        <v>3378</v>
      </c>
      <c r="C82" s="0" t="s">
        <v>3379</v>
      </c>
      <c r="D82" s="0" t="s">
        <v>3378</v>
      </c>
      <c r="E82" s="0" t="s">
        <v>3379</v>
      </c>
      <c r="F82" s="0" t="s">
        <v>3209</v>
      </c>
      <c r="G82" s="0" t="s">
        <v>3389</v>
      </c>
    </row>
    <row customHeight="1" ht="11.25">
      <c r="A83" s="164" t="s">
        <v>16</v>
      </c>
      <c r="B83" s="0" t="s">
        <v>3378</v>
      </c>
      <c r="C83" s="0" t="s">
        <v>3379</v>
      </c>
      <c r="D83" s="0" t="s">
        <v>3390</v>
      </c>
      <c r="E83" s="0" t="s">
        <v>3391</v>
      </c>
      <c r="F83" s="0" t="s">
        <v>3254</v>
      </c>
      <c r="G83" s="0" t="s">
        <v>3392</v>
      </c>
    </row>
    <row customHeight="1" ht="11.25">
      <c r="A84" s="164" t="s">
        <v>16</v>
      </c>
      <c r="B84" s="0" t="s">
        <v>3378</v>
      </c>
      <c r="C84" s="0" t="s">
        <v>3379</v>
      </c>
      <c r="D84" s="0" t="s">
        <v>3393</v>
      </c>
      <c r="E84" s="0" t="s">
        <v>3394</v>
      </c>
      <c r="F84" s="0" t="s">
        <v>3212</v>
      </c>
      <c r="G84" s="0" t="s">
        <v>3395</v>
      </c>
    </row>
    <row customHeight="1" ht="11.25">
      <c r="A85" s="164" t="s">
        <v>16</v>
      </c>
      <c r="B85" s="0" t="s">
        <v>3378</v>
      </c>
      <c r="C85" s="0" t="s">
        <v>3379</v>
      </c>
      <c r="D85" s="0" t="s">
        <v>3396</v>
      </c>
      <c r="E85" s="0" t="s">
        <v>3397</v>
      </c>
      <c r="F85" s="0" t="s">
        <v>3212</v>
      </c>
      <c r="G85" s="0" t="s">
        <v>3398</v>
      </c>
    </row>
    <row customHeight="1" ht="11.25">
      <c r="A86" s="164" t="s">
        <v>16</v>
      </c>
      <c r="B86" s="0" t="s">
        <v>3378</v>
      </c>
      <c r="C86" s="0" t="s">
        <v>3379</v>
      </c>
      <c r="D86" s="0" t="s">
        <v>3293</v>
      </c>
      <c r="E86" s="0" t="s">
        <v>3399</v>
      </c>
      <c r="F86" s="0" t="s">
        <v>3212</v>
      </c>
      <c r="G86" s="0" t="s">
        <v>3400</v>
      </c>
    </row>
    <row customHeight="1" ht="11.25">
      <c r="A87" s="164" t="s">
        <v>16</v>
      </c>
      <c r="B87" s="0" t="s">
        <v>3378</v>
      </c>
      <c r="C87" s="0" t="s">
        <v>3379</v>
      </c>
      <c r="D87" s="0" t="s">
        <v>3401</v>
      </c>
      <c r="E87" s="0" t="s">
        <v>3402</v>
      </c>
      <c r="F87" s="0" t="s">
        <v>3212</v>
      </c>
      <c r="G87" s="0" t="s">
        <v>3403</v>
      </c>
    </row>
    <row customHeight="1" ht="11.25">
      <c r="A88" s="164" t="s">
        <v>16</v>
      </c>
      <c r="B88" s="0" t="s">
        <v>3378</v>
      </c>
      <c r="C88" s="0" t="s">
        <v>3379</v>
      </c>
      <c r="D88" s="0" t="s">
        <v>3404</v>
      </c>
      <c r="E88" s="0" t="s">
        <v>3405</v>
      </c>
      <c r="F88" s="0" t="s">
        <v>3212</v>
      </c>
      <c r="G88" s="0" t="s">
        <v>3406</v>
      </c>
    </row>
    <row customHeight="1" ht="11.25">
      <c r="A89" s="164" t="s">
        <v>16</v>
      </c>
      <c r="B89" s="0" t="s">
        <v>3378</v>
      </c>
      <c r="C89" s="0" t="s">
        <v>3379</v>
      </c>
      <c r="D89" s="0" t="s">
        <v>3407</v>
      </c>
      <c r="E89" s="0" t="s">
        <v>3408</v>
      </c>
      <c r="F89" s="0" t="s">
        <v>3212</v>
      </c>
      <c r="G89" s="0" t="s">
        <v>3409</v>
      </c>
    </row>
    <row customHeight="1" ht="11.25">
      <c r="A90" s="164" t="s">
        <v>16</v>
      </c>
      <c r="B90" s="0" t="s">
        <v>3410</v>
      </c>
      <c r="C90" s="0" t="s">
        <v>3411</v>
      </c>
      <c r="D90" s="0" t="s">
        <v>3412</v>
      </c>
      <c r="E90" s="0" t="s">
        <v>3413</v>
      </c>
      <c r="F90" s="0" t="s">
        <v>3212</v>
      </c>
      <c r="G90" s="0" t="s">
        <v>3414</v>
      </c>
    </row>
    <row customHeight="1" ht="11.25">
      <c r="A91" s="164" t="s">
        <v>16</v>
      </c>
      <c r="B91" s="0" t="s">
        <v>3410</v>
      </c>
      <c r="C91" s="0" t="s">
        <v>3411</v>
      </c>
      <c r="D91" s="0" t="s">
        <v>3415</v>
      </c>
      <c r="E91" s="0" t="s">
        <v>3416</v>
      </c>
      <c r="F91" s="0" t="s">
        <v>3212</v>
      </c>
      <c r="G91" s="0" t="s">
        <v>3417</v>
      </c>
    </row>
    <row customHeight="1" ht="11.25">
      <c r="A92" s="164" t="s">
        <v>16</v>
      </c>
      <c r="B92" s="0" t="s">
        <v>3410</v>
      </c>
      <c r="C92" s="0" t="s">
        <v>3411</v>
      </c>
      <c r="D92" s="0" t="s">
        <v>3418</v>
      </c>
      <c r="E92" s="0" t="s">
        <v>3419</v>
      </c>
      <c r="F92" s="0" t="s">
        <v>3212</v>
      </c>
      <c r="G92" s="0" t="s">
        <v>3420</v>
      </c>
    </row>
    <row customHeight="1" ht="11.25">
      <c r="A93" s="164" t="s">
        <v>16</v>
      </c>
      <c r="B93" s="0" t="s">
        <v>3410</v>
      </c>
      <c r="C93" s="0" t="s">
        <v>3411</v>
      </c>
      <c r="D93" s="0" t="s">
        <v>3421</v>
      </c>
      <c r="E93" s="0" t="s">
        <v>3422</v>
      </c>
      <c r="F93" s="0" t="s">
        <v>3212</v>
      </c>
      <c r="G93" s="0" t="s">
        <v>3423</v>
      </c>
    </row>
    <row customHeight="1" ht="11.25">
      <c r="A94" s="164" t="s">
        <v>16</v>
      </c>
      <c r="B94" s="0" t="s">
        <v>3410</v>
      </c>
      <c r="C94" s="0" t="s">
        <v>3411</v>
      </c>
      <c r="D94" s="0" t="s">
        <v>3410</v>
      </c>
      <c r="E94" s="0" t="s">
        <v>3411</v>
      </c>
      <c r="F94" s="0" t="s">
        <v>3209</v>
      </c>
      <c r="G94" s="0" t="s">
        <v>3424</v>
      </c>
    </row>
    <row customHeight="1" ht="11.25">
      <c r="A95" s="164" t="s">
        <v>16</v>
      </c>
      <c r="B95" s="0" t="s">
        <v>3410</v>
      </c>
      <c r="C95" s="0" t="s">
        <v>3411</v>
      </c>
      <c r="D95" s="0" t="s">
        <v>3425</v>
      </c>
      <c r="E95" s="0" t="s">
        <v>3426</v>
      </c>
      <c r="F95" s="0" t="s">
        <v>3254</v>
      </c>
      <c r="G95" s="0" t="s">
        <v>3427</v>
      </c>
    </row>
    <row customHeight="1" ht="11.25">
      <c r="A96" s="164" t="s">
        <v>16</v>
      </c>
      <c r="B96" s="0" t="s">
        <v>3410</v>
      </c>
      <c r="C96" s="0" t="s">
        <v>3411</v>
      </c>
      <c r="D96" s="0" t="s">
        <v>3257</v>
      </c>
      <c r="E96" s="0" t="s">
        <v>3428</v>
      </c>
      <c r="F96" s="0" t="s">
        <v>3212</v>
      </c>
      <c r="G96" s="0" t="s">
        <v>3429</v>
      </c>
    </row>
    <row customHeight="1" ht="11.25">
      <c r="A97" s="164" t="s">
        <v>16</v>
      </c>
      <c r="B97" s="0" t="s">
        <v>3410</v>
      </c>
      <c r="C97" s="0" t="s">
        <v>3411</v>
      </c>
      <c r="D97" s="0" t="s">
        <v>3430</v>
      </c>
      <c r="E97" s="0" t="s">
        <v>3431</v>
      </c>
      <c r="F97" s="0" t="s">
        <v>3212</v>
      </c>
      <c r="G97" s="0" t="s">
        <v>3432</v>
      </c>
    </row>
    <row customHeight="1" ht="11.25">
      <c r="A98" s="164" t="s">
        <v>16</v>
      </c>
      <c r="B98" s="0" t="s">
        <v>3433</v>
      </c>
      <c r="C98" s="0" t="s">
        <v>3434</v>
      </c>
      <c r="D98" s="0" t="s">
        <v>3435</v>
      </c>
      <c r="E98" s="0" t="s">
        <v>3436</v>
      </c>
      <c r="F98" s="0" t="s">
        <v>3212</v>
      </c>
      <c r="G98" s="0" t="s">
        <v>3437</v>
      </c>
    </row>
    <row customHeight="1" ht="11.25">
      <c r="A99" s="164" t="s">
        <v>16</v>
      </c>
      <c r="B99" s="0" t="s">
        <v>3433</v>
      </c>
      <c r="C99" s="0" t="s">
        <v>3434</v>
      </c>
      <c r="D99" s="0" t="s">
        <v>3438</v>
      </c>
      <c r="E99" s="0" t="s">
        <v>3439</v>
      </c>
      <c r="F99" s="0" t="s">
        <v>3212</v>
      </c>
      <c r="G99" s="0" t="s">
        <v>3440</v>
      </c>
    </row>
    <row customHeight="1" ht="11.25">
      <c r="A100" s="164" t="s">
        <v>16</v>
      </c>
      <c r="B100" s="0" t="s">
        <v>3433</v>
      </c>
      <c r="C100" s="0" t="s">
        <v>3434</v>
      </c>
      <c r="D100" s="0" t="s">
        <v>3441</v>
      </c>
      <c r="E100" s="0" t="s">
        <v>3442</v>
      </c>
      <c r="F100" s="0" t="s">
        <v>3212</v>
      </c>
      <c r="G100" s="0" t="s">
        <v>3443</v>
      </c>
    </row>
    <row customHeight="1" ht="11.25">
      <c r="A101" s="164" t="s">
        <v>16</v>
      </c>
      <c r="B101" s="0" t="s">
        <v>3433</v>
      </c>
      <c r="C101" s="0" t="s">
        <v>3434</v>
      </c>
      <c r="D101" s="0" t="s">
        <v>3444</v>
      </c>
      <c r="E101" s="0" t="s">
        <v>3445</v>
      </c>
      <c r="F101" s="0" t="s">
        <v>3212</v>
      </c>
      <c r="G101" s="0" t="s">
        <v>3446</v>
      </c>
    </row>
    <row customHeight="1" ht="11.25">
      <c r="A102" s="164" t="s">
        <v>16</v>
      </c>
      <c r="B102" s="0" t="s">
        <v>3433</v>
      </c>
      <c r="C102" s="0" t="s">
        <v>3434</v>
      </c>
      <c r="D102" s="0" t="s">
        <v>3433</v>
      </c>
      <c r="E102" s="0" t="s">
        <v>3434</v>
      </c>
      <c r="F102" s="0" t="s">
        <v>3209</v>
      </c>
      <c r="G102" s="0" t="s">
        <v>3447</v>
      </c>
    </row>
    <row customHeight="1" ht="11.25">
      <c r="A103" s="164" t="s">
        <v>16</v>
      </c>
      <c r="B103" s="0" t="s">
        <v>3433</v>
      </c>
      <c r="C103" s="0" t="s">
        <v>3434</v>
      </c>
      <c r="D103" s="0" t="s">
        <v>3448</v>
      </c>
      <c r="E103" s="0" t="s">
        <v>3449</v>
      </c>
      <c r="F103" s="0" t="s">
        <v>3254</v>
      </c>
      <c r="G103" s="0" t="s">
        <v>3450</v>
      </c>
    </row>
    <row customHeight="1" ht="11.25">
      <c r="A104" s="164" t="s">
        <v>16</v>
      </c>
      <c r="B104" s="0" t="s">
        <v>3433</v>
      </c>
      <c r="C104" s="0" t="s">
        <v>3434</v>
      </c>
      <c r="D104" s="0" t="s">
        <v>3451</v>
      </c>
      <c r="E104" s="0" t="s">
        <v>3452</v>
      </c>
      <c r="F104" s="0" t="s">
        <v>3212</v>
      </c>
      <c r="G104" s="0" t="s">
        <v>3453</v>
      </c>
    </row>
    <row customHeight="1" ht="11.25">
      <c r="A105" s="164" t="s">
        <v>16</v>
      </c>
      <c r="B105" s="0" t="s">
        <v>3433</v>
      </c>
      <c r="C105" s="0" t="s">
        <v>3434</v>
      </c>
      <c r="D105" s="0" t="s">
        <v>3454</v>
      </c>
      <c r="E105" s="0" t="s">
        <v>3455</v>
      </c>
      <c r="F105" s="0" t="s">
        <v>3212</v>
      </c>
      <c r="G105" s="0" t="s">
        <v>3456</v>
      </c>
    </row>
    <row customHeight="1" ht="11.25">
      <c r="A106" s="164" t="s">
        <v>16</v>
      </c>
      <c r="B106" s="0" t="s">
        <v>3433</v>
      </c>
      <c r="C106" s="0" t="s">
        <v>3434</v>
      </c>
      <c r="D106" s="0" t="s">
        <v>3457</v>
      </c>
      <c r="E106" s="0" t="s">
        <v>3458</v>
      </c>
      <c r="F106" s="0" t="s">
        <v>3212</v>
      </c>
      <c r="G106" s="0" t="s">
        <v>3459</v>
      </c>
    </row>
    <row customHeight="1" ht="11.25">
      <c r="A107" s="164" t="s">
        <v>16</v>
      </c>
      <c r="B107" s="0" t="s">
        <v>3433</v>
      </c>
      <c r="C107" s="0" t="s">
        <v>3434</v>
      </c>
      <c r="D107" s="0" t="s">
        <v>3460</v>
      </c>
      <c r="E107" s="0" t="s">
        <v>3461</v>
      </c>
      <c r="F107" s="0" t="s">
        <v>3212</v>
      </c>
      <c r="G107" s="0" t="s">
        <v>3462</v>
      </c>
    </row>
    <row customHeight="1" ht="11.25">
      <c r="A108" s="164" t="s">
        <v>16</v>
      </c>
      <c r="B108" s="0" t="s">
        <v>3433</v>
      </c>
      <c r="C108" s="0" t="s">
        <v>3434</v>
      </c>
      <c r="D108" s="0" t="s">
        <v>3463</v>
      </c>
      <c r="E108" s="0" t="s">
        <v>3464</v>
      </c>
      <c r="F108" s="0" t="s">
        <v>3212</v>
      </c>
      <c r="G108" s="0" t="s">
        <v>3465</v>
      </c>
    </row>
    <row customHeight="1" ht="11.25">
      <c r="A109" s="164" t="s">
        <v>16</v>
      </c>
      <c r="B109" s="0" t="s">
        <v>3433</v>
      </c>
      <c r="C109" s="0" t="s">
        <v>3434</v>
      </c>
      <c r="D109" s="0" t="s">
        <v>3466</v>
      </c>
      <c r="E109" s="0" t="s">
        <v>3467</v>
      </c>
      <c r="F109" s="0" t="s">
        <v>3212</v>
      </c>
      <c r="G109" s="0" t="s">
        <v>3468</v>
      </c>
    </row>
    <row customHeight="1" ht="11.25">
      <c r="A110" s="164" t="s">
        <v>16</v>
      </c>
      <c r="B110" s="0" t="s">
        <v>3469</v>
      </c>
      <c r="C110" s="0" t="s">
        <v>3470</v>
      </c>
      <c r="D110" s="0" t="s">
        <v>3471</v>
      </c>
      <c r="E110" s="0" t="s">
        <v>3472</v>
      </c>
      <c r="F110" s="0" t="s">
        <v>3212</v>
      </c>
      <c r="G110" s="0" t="s">
        <v>3473</v>
      </c>
    </row>
    <row customHeight="1" ht="11.25">
      <c r="A111" s="164" t="s">
        <v>16</v>
      </c>
      <c r="B111" s="0" t="s">
        <v>3469</v>
      </c>
      <c r="C111" s="0" t="s">
        <v>3470</v>
      </c>
      <c r="D111" s="0" t="s">
        <v>3474</v>
      </c>
      <c r="E111" s="0" t="s">
        <v>3475</v>
      </c>
      <c r="F111" s="0" t="s">
        <v>3221</v>
      </c>
      <c r="G111" s="0" t="s">
        <v>3476</v>
      </c>
    </row>
    <row customHeight="1" ht="11.25">
      <c r="A112" s="164" t="s">
        <v>16</v>
      </c>
      <c r="B112" s="0" t="s">
        <v>3469</v>
      </c>
      <c r="C112" s="0" t="s">
        <v>3470</v>
      </c>
      <c r="D112" s="0" t="s">
        <v>3477</v>
      </c>
      <c r="E112" s="0" t="s">
        <v>3478</v>
      </c>
      <c r="F112" s="0" t="s">
        <v>3212</v>
      </c>
      <c r="G112" s="0" t="s">
        <v>632</v>
      </c>
    </row>
    <row customHeight="1" ht="11.25">
      <c r="A113" s="164" t="s">
        <v>16</v>
      </c>
      <c r="B113" s="0" t="s">
        <v>3469</v>
      </c>
      <c r="C113" s="0" t="s">
        <v>3470</v>
      </c>
      <c r="D113" s="0" t="s">
        <v>3469</v>
      </c>
      <c r="E113" s="0" t="s">
        <v>3470</v>
      </c>
      <c r="F113" s="0" t="s">
        <v>3209</v>
      </c>
      <c r="G113" s="0" t="s">
        <v>3479</v>
      </c>
    </row>
    <row customHeight="1" ht="11.25">
      <c r="A114" s="164" t="s">
        <v>16</v>
      </c>
      <c r="B114" s="0" t="s">
        <v>3469</v>
      </c>
      <c r="C114" s="0" t="s">
        <v>3470</v>
      </c>
      <c r="D114" s="0" t="s">
        <v>3480</v>
      </c>
      <c r="E114" s="0" t="s">
        <v>3481</v>
      </c>
      <c r="F114" s="0" t="s">
        <v>3212</v>
      </c>
      <c r="G114" s="0" t="s">
        <v>3482</v>
      </c>
    </row>
    <row customHeight="1" ht="11.25">
      <c r="A115" s="164" t="s">
        <v>16</v>
      </c>
      <c r="B115" s="0" t="s">
        <v>3469</v>
      </c>
      <c r="C115" s="0" t="s">
        <v>3470</v>
      </c>
      <c r="D115" s="0" t="s">
        <v>3483</v>
      </c>
      <c r="E115" s="0" t="s">
        <v>3484</v>
      </c>
      <c r="F115" s="0" t="s">
        <v>3212</v>
      </c>
      <c r="G115" s="0" t="s">
        <v>3485</v>
      </c>
    </row>
    <row customHeight="1" ht="11.25">
      <c r="A116" s="164" t="s">
        <v>16</v>
      </c>
      <c r="B116" s="0" t="s">
        <v>3469</v>
      </c>
      <c r="C116" s="0" t="s">
        <v>3470</v>
      </c>
      <c r="D116" s="0" t="s">
        <v>3486</v>
      </c>
      <c r="E116" s="0" t="s">
        <v>3487</v>
      </c>
      <c r="F116" s="0" t="s">
        <v>3212</v>
      </c>
      <c r="G116" s="0" t="s">
        <v>3488</v>
      </c>
    </row>
    <row customHeight="1" ht="11.25">
      <c r="A117" s="164" t="s">
        <v>16</v>
      </c>
      <c r="B117" s="0" t="s">
        <v>3469</v>
      </c>
      <c r="C117" s="0" t="s">
        <v>3470</v>
      </c>
      <c r="D117" s="0" t="s">
        <v>3489</v>
      </c>
      <c r="E117" s="0" t="s">
        <v>3490</v>
      </c>
      <c r="F117" s="0" t="s">
        <v>3212</v>
      </c>
      <c r="G117" s="0" t="s">
        <v>3491</v>
      </c>
    </row>
    <row customHeight="1" ht="11.25">
      <c r="A118" s="164" t="s">
        <v>16</v>
      </c>
      <c r="B118" s="0" t="s">
        <v>3469</v>
      </c>
      <c r="C118" s="0" t="s">
        <v>3470</v>
      </c>
      <c r="D118" s="0" t="s">
        <v>3492</v>
      </c>
      <c r="E118" s="0" t="s">
        <v>3493</v>
      </c>
      <c r="F118" s="0" t="s">
        <v>3212</v>
      </c>
      <c r="G118" s="0" t="s">
        <v>3494</v>
      </c>
    </row>
    <row customHeight="1" ht="11.25">
      <c r="A119" s="164" t="s">
        <v>16</v>
      </c>
      <c r="B119" s="0" t="s">
        <v>3469</v>
      </c>
      <c r="C119" s="0" t="s">
        <v>3470</v>
      </c>
      <c r="D119" s="0" t="s">
        <v>3495</v>
      </c>
      <c r="E119" s="0" t="s">
        <v>3496</v>
      </c>
      <c r="F119" s="0" t="s">
        <v>3212</v>
      </c>
      <c r="G119" s="0" t="s">
        <v>3497</v>
      </c>
    </row>
    <row customHeight="1" ht="11.25">
      <c r="A120" s="164" t="s">
        <v>16</v>
      </c>
      <c r="B120" s="0" t="s">
        <v>3498</v>
      </c>
      <c r="C120" s="0" t="s">
        <v>3499</v>
      </c>
      <c r="D120" s="0" t="s">
        <v>3498</v>
      </c>
      <c r="E120" s="0" t="s">
        <v>3499</v>
      </c>
      <c r="F120" s="0" t="s">
        <v>3377</v>
      </c>
      <c r="G120" s="0" t="s">
        <v>3500</v>
      </c>
    </row>
    <row customHeight="1" ht="11.25">
      <c r="A121" s="164" t="s">
        <v>16</v>
      </c>
      <c r="B121" s="0" t="s">
        <v>3501</v>
      </c>
      <c r="C121" s="0" t="s">
        <v>3502</v>
      </c>
      <c r="D121" s="0" t="s">
        <v>3503</v>
      </c>
      <c r="E121" s="0" t="s">
        <v>3504</v>
      </c>
      <c r="F121" s="0" t="s">
        <v>3212</v>
      </c>
      <c r="G121" s="0" t="s">
        <v>3505</v>
      </c>
    </row>
    <row customHeight="1" ht="11.25">
      <c r="A122" s="164" t="s">
        <v>16</v>
      </c>
      <c r="B122" s="0" t="s">
        <v>3501</v>
      </c>
      <c r="C122" s="0" t="s">
        <v>3502</v>
      </c>
      <c r="D122" s="0" t="s">
        <v>3506</v>
      </c>
      <c r="E122" s="0" t="s">
        <v>3507</v>
      </c>
      <c r="F122" s="0" t="s">
        <v>3212</v>
      </c>
      <c r="G122" s="0" t="s">
        <v>3508</v>
      </c>
    </row>
    <row customHeight="1" ht="11.25">
      <c r="A123" s="164" t="s">
        <v>16</v>
      </c>
      <c r="B123" s="0" t="s">
        <v>3501</v>
      </c>
      <c r="C123" s="0" t="s">
        <v>3502</v>
      </c>
      <c r="D123" s="0" t="s">
        <v>3509</v>
      </c>
      <c r="E123" s="0" t="s">
        <v>3510</v>
      </c>
      <c r="F123" s="0" t="s">
        <v>3212</v>
      </c>
      <c r="G123" s="0" t="s">
        <v>3511</v>
      </c>
    </row>
    <row customHeight="1" ht="11.25">
      <c r="A124" s="164" t="s">
        <v>16</v>
      </c>
      <c r="B124" s="0" t="s">
        <v>3501</v>
      </c>
      <c r="C124" s="0" t="s">
        <v>3502</v>
      </c>
      <c r="D124" s="0" t="s">
        <v>3501</v>
      </c>
      <c r="E124" s="0" t="s">
        <v>3502</v>
      </c>
      <c r="F124" s="0" t="s">
        <v>3209</v>
      </c>
      <c r="G124" s="0" t="s">
        <v>3512</v>
      </c>
    </row>
    <row customHeight="1" ht="11.25">
      <c r="A125" s="164" t="s">
        <v>16</v>
      </c>
      <c r="B125" s="0" t="s">
        <v>3501</v>
      </c>
      <c r="C125" s="0" t="s">
        <v>3502</v>
      </c>
      <c r="D125" s="0" t="s">
        <v>3513</v>
      </c>
      <c r="E125" s="0" t="s">
        <v>3514</v>
      </c>
      <c r="F125" s="0" t="s">
        <v>3212</v>
      </c>
      <c r="G125" s="0" t="s">
        <v>3515</v>
      </c>
    </row>
    <row customHeight="1" ht="11.25">
      <c r="A126" s="164" t="s">
        <v>16</v>
      </c>
      <c r="B126" s="0" t="s">
        <v>3501</v>
      </c>
      <c r="C126" s="0" t="s">
        <v>3502</v>
      </c>
      <c r="D126" s="0" t="s">
        <v>3516</v>
      </c>
      <c r="E126" s="0" t="s">
        <v>3517</v>
      </c>
      <c r="F126" s="0" t="s">
        <v>3212</v>
      </c>
      <c r="G126" s="0" t="s">
        <v>3518</v>
      </c>
    </row>
    <row customHeight="1" ht="11.25">
      <c r="A127" s="164" t="s">
        <v>16</v>
      </c>
      <c r="B127" s="0" t="s">
        <v>3501</v>
      </c>
      <c r="C127" s="0" t="s">
        <v>3502</v>
      </c>
      <c r="D127" s="0" t="s">
        <v>3519</v>
      </c>
      <c r="E127" s="0" t="s">
        <v>3520</v>
      </c>
      <c r="F127" s="0" t="s">
        <v>3212</v>
      </c>
      <c r="G127" s="0" t="s">
        <v>3521</v>
      </c>
    </row>
    <row customHeight="1" ht="11.25">
      <c r="A128" s="164" t="s">
        <v>16</v>
      </c>
      <c r="B128" s="0" t="s">
        <v>3501</v>
      </c>
      <c r="C128" s="0" t="s">
        <v>3502</v>
      </c>
      <c r="D128" s="0" t="s">
        <v>3522</v>
      </c>
      <c r="E128" s="0" t="s">
        <v>3523</v>
      </c>
      <c r="F128" s="0" t="s">
        <v>3212</v>
      </c>
      <c r="G128" s="0" t="s">
        <v>3524</v>
      </c>
    </row>
    <row customHeight="1" ht="11.25">
      <c r="A129" s="164" t="s">
        <v>16</v>
      </c>
      <c r="B129" s="0" t="s">
        <v>3501</v>
      </c>
      <c r="C129" s="0" t="s">
        <v>3502</v>
      </c>
      <c r="D129" s="0" t="s">
        <v>3525</v>
      </c>
      <c r="E129" s="0" t="s">
        <v>3526</v>
      </c>
      <c r="F129" s="0" t="s">
        <v>3212</v>
      </c>
      <c r="G129" s="0" t="s">
        <v>3527</v>
      </c>
    </row>
    <row customHeight="1" ht="11.25">
      <c r="A130" s="164" t="s">
        <v>16</v>
      </c>
      <c r="B130" s="0" t="s">
        <v>3501</v>
      </c>
      <c r="C130" s="0" t="s">
        <v>3502</v>
      </c>
      <c r="D130" s="0" t="s">
        <v>3528</v>
      </c>
      <c r="E130" s="0" t="s">
        <v>3529</v>
      </c>
      <c r="F130" s="0" t="s">
        <v>3212</v>
      </c>
      <c r="G130" s="0" t="s">
        <v>3530</v>
      </c>
    </row>
    <row customHeight="1" ht="11.25">
      <c r="A131" s="164" t="s">
        <v>16</v>
      </c>
      <c r="B131" s="0" t="s">
        <v>3531</v>
      </c>
      <c r="C131" s="0" t="s">
        <v>3532</v>
      </c>
      <c r="D131" s="0" t="s">
        <v>3533</v>
      </c>
      <c r="E131" s="0" t="s">
        <v>3534</v>
      </c>
      <c r="F131" s="0" t="s">
        <v>3212</v>
      </c>
      <c r="G131" s="0" t="s">
        <v>3535</v>
      </c>
    </row>
    <row customHeight="1" ht="11.25">
      <c r="A132" s="164" t="s">
        <v>16</v>
      </c>
      <c r="B132" s="0" t="s">
        <v>3531</v>
      </c>
      <c r="C132" s="0" t="s">
        <v>3532</v>
      </c>
      <c r="D132" s="0" t="s">
        <v>3536</v>
      </c>
      <c r="E132" s="0" t="s">
        <v>3537</v>
      </c>
      <c r="F132" s="0" t="s">
        <v>3221</v>
      </c>
      <c r="G132" s="0" t="s">
        <v>3538</v>
      </c>
    </row>
    <row customHeight="1" ht="11.25">
      <c r="A133" s="164" t="s">
        <v>16</v>
      </c>
      <c r="B133" s="0" t="s">
        <v>3531</v>
      </c>
      <c r="C133" s="0" t="s">
        <v>3532</v>
      </c>
      <c r="D133" s="0" t="s">
        <v>3539</v>
      </c>
      <c r="E133" s="0" t="s">
        <v>3540</v>
      </c>
      <c r="F133" s="0" t="s">
        <v>3212</v>
      </c>
      <c r="G133" s="0" t="s">
        <v>3541</v>
      </c>
    </row>
    <row customHeight="1" ht="11.25">
      <c r="A134" s="164" t="s">
        <v>16</v>
      </c>
      <c r="B134" s="0" t="s">
        <v>3531</v>
      </c>
      <c r="C134" s="0" t="s">
        <v>3532</v>
      </c>
      <c r="D134" s="0" t="s">
        <v>3531</v>
      </c>
      <c r="E134" s="0" t="s">
        <v>3532</v>
      </c>
      <c r="F134" s="0" t="s">
        <v>3209</v>
      </c>
      <c r="G134" s="0" t="s">
        <v>3542</v>
      </c>
    </row>
    <row customHeight="1" ht="11.25">
      <c r="A135" s="164" t="s">
        <v>16</v>
      </c>
      <c r="B135" s="0" t="s">
        <v>3531</v>
      </c>
      <c r="C135" s="0" t="s">
        <v>3532</v>
      </c>
      <c r="D135" s="0" t="s">
        <v>3543</v>
      </c>
      <c r="E135" s="0" t="s">
        <v>3544</v>
      </c>
      <c r="F135" s="0" t="s">
        <v>3212</v>
      </c>
      <c r="G135" s="0" t="s">
        <v>3545</v>
      </c>
    </row>
    <row customHeight="1" ht="11.25">
      <c r="A136" s="164" t="s">
        <v>16</v>
      </c>
      <c r="B136" s="0" t="s">
        <v>3531</v>
      </c>
      <c r="C136" s="0" t="s">
        <v>3532</v>
      </c>
      <c r="D136" s="0" t="s">
        <v>3546</v>
      </c>
      <c r="E136" s="0" t="s">
        <v>3547</v>
      </c>
      <c r="F136" s="0" t="s">
        <v>3212</v>
      </c>
      <c r="G136" s="0" t="s">
        <v>3548</v>
      </c>
    </row>
    <row customHeight="1" ht="11.25">
      <c r="A137" s="164" t="s">
        <v>16</v>
      </c>
      <c r="B137" s="0" t="s">
        <v>3531</v>
      </c>
      <c r="C137" s="0" t="s">
        <v>3532</v>
      </c>
      <c r="D137" s="0" t="s">
        <v>3549</v>
      </c>
      <c r="E137" s="0" t="s">
        <v>3550</v>
      </c>
      <c r="F137" s="0" t="s">
        <v>3212</v>
      </c>
      <c r="G137" s="0" t="s">
        <v>3551</v>
      </c>
    </row>
    <row customHeight="1" ht="11.25">
      <c r="A138" s="164" t="s">
        <v>16</v>
      </c>
      <c r="B138" s="0" t="s">
        <v>3531</v>
      </c>
      <c r="C138" s="0" t="s">
        <v>3532</v>
      </c>
      <c r="D138" s="0" t="s">
        <v>3552</v>
      </c>
      <c r="E138" s="0" t="s">
        <v>3553</v>
      </c>
      <c r="F138" s="0" t="s">
        <v>3212</v>
      </c>
      <c r="G138" s="0" t="s">
        <v>3554</v>
      </c>
    </row>
    <row customHeight="1" ht="11.25">
      <c r="A139" s="164" t="s">
        <v>16</v>
      </c>
      <c r="B139" s="0" t="s">
        <v>3531</v>
      </c>
      <c r="C139" s="0" t="s">
        <v>3532</v>
      </c>
      <c r="D139" s="0" t="s">
        <v>3555</v>
      </c>
      <c r="E139" s="0" t="s">
        <v>3556</v>
      </c>
      <c r="F139" s="0" t="s">
        <v>3212</v>
      </c>
      <c r="G139" s="0" t="s">
        <v>3557</v>
      </c>
    </row>
    <row customHeight="1" ht="11.25">
      <c r="A140" s="164" t="s">
        <v>16</v>
      </c>
      <c r="B140" s="0" t="s">
        <v>3531</v>
      </c>
      <c r="C140" s="0" t="s">
        <v>3532</v>
      </c>
      <c r="D140" s="0" t="s">
        <v>3558</v>
      </c>
      <c r="E140" s="0" t="s">
        <v>3559</v>
      </c>
      <c r="F140" s="0" t="s">
        <v>3212</v>
      </c>
      <c r="G140" s="0" t="s">
        <v>3560</v>
      </c>
    </row>
    <row customHeight="1" ht="11.25">
      <c r="A141" s="164" t="s">
        <v>16</v>
      </c>
      <c r="B141" s="0" t="s">
        <v>3531</v>
      </c>
      <c r="C141" s="0" t="s">
        <v>3532</v>
      </c>
      <c r="D141" s="0" t="s">
        <v>3561</v>
      </c>
      <c r="E141" s="0" t="s">
        <v>3562</v>
      </c>
      <c r="F141" s="0" t="s">
        <v>3212</v>
      </c>
      <c r="G141" s="0" t="s">
        <v>3563</v>
      </c>
    </row>
    <row customHeight="1" ht="11.25">
      <c r="A142" s="164" t="s">
        <v>16</v>
      </c>
      <c r="B142" s="0" t="s">
        <v>3531</v>
      </c>
      <c r="C142" s="0" t="s">
        <v>3532</v>
      </c>
      <c r="D142" s="0" t="s">
        <v>3564</v>
      </c>
      <c r="E142" s="0" t="s">
        <v>3565</v>
      </c>
      <c r="F142" s="0" t="s">
        <v>3212</v>
      </c>
      <c r="G142" s="0" t="s">
        <v>3566</v>
      </c>
    </row>
    <row customHeight="1" ht="11.25">
      <c r="A143" s="164" t="s">
        <v>16</v>
      </c>
      <c r="B143" s="0" t="s">
        <v>3567</v>
      </c>
      <c r="C143" s="0" t="s">
        <v>3568</v>
      </c>
      <c r="D143" s="0" t="s">
        <v>3569</v>
      </c>
      <c r="E143" s="0" t="s">
        <v>3570</v>
      </c>
      <c r="F143" s="0" t="s">
        <v>3212</v>
      </c>
      <c r="G143" s="0" t="s">
        <v>3571</v>
      </c>
    </row>
    <row customHeight="1" ht="11.25">
      <c r="A144" s="164" t="s">
        <v>16</v>
      </c>
      <c r="B144" s="0" t="s">
        <v>3567</v>
      </c>
      <c r="C144" s="0" t="s">
        <v>3568</v>
      </c>
      <c r="D144" s="0" t="s">
        <v>3572</v>
      </c>
      <c r="E144" s="0" t="s">
        <v>3573</v>
      </c>
      <c r="F144" s="0" t="s">
        <v>3212</v>
      </c>
      <c r="G144" s="0" t="s">
        <v>3574</v>
      </c>
    </row>
    <row customHeight="1" ht="11.25">
      <c r="A145" s="164" t="s">
        <v>16</v>
      </c>
      <c r="B145" s="0" t="s">
        <v>3567</v>
      </c>
      <c r="C145" s="0" t="s">
        <v>3568</v>
      </c>
      <c r="D145" s="0" t="s">
        <v>3575</v>
      </c>
      <c r="E145" s="0" t="s">
        <v>3576</v>
      </c>
      <c r="F145" s="0" t="s">
        <v>3221</v>
      </c>
      <c r="G145" s="0" t="s">
        <v>3577</v>
      </c>
    </row>
    <row customHeight="1" ht="11.25">
      <c r="A146" s="164" t="s">
        <v>16</v>
      </c>
      <c r="B146" s="0" t="s">
        <v>3567</v>
      </c>
      <c r="C146" s="0" t="s">
        <v>3568</v>
      </c>
      <c r="D146" s="0" t="s">
        <v>3578</v>
      </c>
      <c r="E146" s="0" t="s">
        <v>3579</v>
      </c>
      <c r="F146" s="0" t="s">
        <v>3212</v>
      </c>
      <c r="G146" s="0" t="s">
        <v>3580</v>
      </c>
    </row>
    <row customHeight="1" ht="11.25">
      <c r="A147" s="164" t="s">
        <v>16</v>
      </c>
      <c r="B147" s="0" t="s">
        <v>3567</v>
      </c>
      <c r="C147" s="0" t="s">
        <v>3568</v>
      </c>
      <c r="D147" s="0" t="s">
        <v>3581</v>
      </c>
      <c r="E147" s="0" t="s">
        <v>3582</v>
      </c>
      <c r="F147" s="0" t="s">
        <v>3254</v>
      </c>
      <c r="G147" s="0" t="s">
        <v>3583</v>
      </c>
    </row>
    <row customHeight="1" ht="11.25">
      <c r="A148" s="164" t="s">
        <v>16</v>
      </c>
      <c r="B148" s="0" t="s">
        <v>3567</v>
      </c>
      <c r="C148" s="0" t="s">
        <v>3568</v>
      </c>
      <c r="D148" s="0" t="s">
        <v>3584</v>
      </c>
      <c r="E148" s="0" t="s">
        <v>3585</v>
      </c>
      <c r="F148" s="0" t="s">
        <v>3212</v>
      </c>
      <c r="G148" s="0" t="s">
        <v>3586</v>
      </c>
    </row>
    <row customHeight="1" ht="11.25">
      <c r="A149" s="164" t="s">
        <v>16</v>
      </c>
      <c r="B149" s="0" t="s">
        <v>3567</v>
      </c>
      <c r="C149" s="0" t="s">
        <v>3568</v>
      </c>
      <c r="D149" s="0" t="s">
        <v>3567</v>
      </c>
      <c r="E149" s="0" t="s">
        <v>3568</v>
      </c>
      <c r="F149" s="0" t="s">
        <v>3209</v>
      </c>
      <c r="G149" s="0" t="s">
        <v>3587</v>
      </c>
    </row>
    <row customHeight="1" ht="11.25">
      <c r="A150" s="164" t="s">
        <v>16</v>
      </c>
      <c r="B150" s="0" t="s">
        <v>3567</v>
      </c>
      <c r="C150" s="0" t="s">
        <v>3568</v>
      </c>
      <c r="D150" s="0" t="s">
        <v>3588</v>
      </c>
      <c r="E150" s="0" t="s">
        <v>3589</v>
      </c>
      <c r="F150" s="0" t="s">
        <v>3212</v>
      </c>
      <c r="G150" s="0" t="s">
        <v>3590</v>
      </c>
    </row>
    <row customHeight="1" ht="11.25">
      <c r="A151" s="164" t="s">
        <v>16</v>
      </c>
      <c r="B151" s="0" t="s">
        <v>3567</v>
      </c>
      <c r="C151" s="0" t="s">
        <v>3568</v>
      </c>
      <c r="D151" s="0" t="s">
        <v>3591</v>
      </c>
      <c r="E151" s="0" t="s">
        <v>3592</v>
      </c>
      <c r="F151" s="0" t="s">
        <v>3212</v>
      </c>
      <c r="G151" s="0" t="s">
        <v>3593</v>
      </c>
    </row>
    <row customHeight="1" ht="11.25">
      <c r="A152" s="164" t="s">
        <v>16</v>
      </c>
      <c r="B152" s="0" t="s">
        <v>3567</v>
      </c>
      <c r="C152" s="0" t="s">
        <v>3568</v>
      </c>
      <c r="D152" s="0" t="s">
        <v>3594</v>
      </c>
      <c r="E152" s="0" t="s">
        <v>3595</v>
      </c>
      <c r="F152" s="0" t="s">
        <v>3212</v>
      </c>
      <c r="G152" s="0" t="s">
        <v>3596</v>
      </c>
    </row>
    <row customHeight="1" ht="11.25">
      <c r="A153" s="164" t="s">
        <v>16</v>
      </c>
      <c r="B153" s="0" t="s">
        <v>3567</v>
      </c>
      <c r="C153" s="0" t="s">
        <v>3568</v>
      </c>
      <c r="D153" s="0" t="s">
        <v>3597</v>
      </c>
      <c r="E153" s="0" t="s">
        <v>3598</v>
      </c>
      <c r="F153" s="0" t="s">
        <v>3212</v>
      </c>
      <c r="G153" s="0" t="s">
        <v>3599</v>
      </c>
    </row>
    <row customHeight="1" ht="11.25">
      <c r="A154" s="164" t="s">
        <v>16</v>
      </c>
      <c r="B154" s="0" t="s">
        <v>3567</v>
      </c>
      <c r="C154" s="0" t="s">
        <v>3568</v>
      </c>
      <c r="D154" s="0" t="s">
        <v>3600</v>
      </c>
      <c r="E154" s="0" t="s">
        <v>3601</v>
      </c>
      <c r="F154" s="0" t="s">
        <v>3212</v>
      </c>
      <c r="G154" s="0" t="s">
        <v>3602</v>
      </c>
    </row>
    <row customHeight="1" ht="11.25">
      <c r="A155" s="164" t="s">
        <v>16</v>
      </c>
      <c r="B155" s="0" t="s">
        <v>3603</v>
      </c>
      <c r="C155" s="0" t="s">
        <v>3604</v>
      </c>
      <c r="D155" s="0" t="s">
        <v>3605</v>
      </c>
      <c r="E155" s="0" t="s">
        <v>3606</v>
      </c>
      <c r="F155" s="0" t="s">
        <v>3221</v>
      </c>
      <c r="G155" s="0" t="s">
        <v>3607</v>
      </c>
    </row>
    <row customHeight="1" ht="11.25">
      <c r="A156" s="164" t="s">
        <v>16</v>
      </c>
      <c r="B156" s="0" t="s">
        <v>3603</v>
      </c>
      <c r="C156" s="0" t="s">
        <v>3604</v>
      </c>
      <c r="D156" s="0" t="s">
        <v>3608</v>
      </c>
      <c r="E156" s="0" t="s">
        <v>3609</v>
      </c>
      <c r="F156" s="0" t="s">
        <v>3212</v>
      </c>
      <c r="G156" s="0" t="s">
        <v>3610</v>
      </c>
    </row>
    <row customHeight="1" ht="11.25">
      <c r="A157" s="164" t="s">
        <v>16</v>
      </c>
      <c r="B157" s="0" t="s">
        <v>3603</v>
      </c>
      <c r="C157" s="0" t="s">
        <v>3604</v>
      </c>
      <c r="D157" s="0" t="s">
        <v>3611</v>
      </c>
      <c r="E157" s="0" t="s">
        <v>3612</v>
      </c>
      <c r="F157" s="0" t="s">
        <v>3212</v>
      </c>
      <c r="G157" s="0" t="s">
        <v>3613</v>
      </c>
    </row>
    <row customHeight="1" ht="11.25">
      <c r="A158" s="164" t="s">
        <v>16</v>
      </c>
      <c r="B158" s="0" t="s">
        <v>3603</v>
      </c>
      <c r="C158" s="0" t="s">
        <v>3604</v>
      </c>
      <c r="D158" s="0" t="s">
        <v>3614</v>
      </c>
      <c r="E158" s="0" t="s">
        <v>3615</v>
      </c>
      <c r="F158" s="0" t="s">
        <v>3212</v>
      </c>
      <c r="G158" s="0" t="s">
        <v>3616</v>
      </c>
    </row>
    <row customHeight="1" ht="11.25">
      <c r="A159" s="164" t="s">
        <v>16</v>
      </c>
      <c r="B159" s="0" t="s">
        <v>3603</v>
      </c>
      <c r="C159" s="0" t="s">
        <v>3604</v>
      </c>
      <c r="D159" s="0" t="s">
        <v>3617</v>
      </c>
      <c r="E159" s="0" t="s">
        <v>3618</v>
      </c>
      <c r="F159" s="0" t="s">
        <v>3212</v>
      </c>
      <c r="G159" s="0" t="s">
        <v>3619</v>
      </c>
    </row>
    <row customHeight="1" ht="11.25">
      <c r="A160" s="164" t="s">
        <v>16</v>
      </c>
      <c r="B160" s="0" t="s">
        <v>3603</v>
      </c>
      <c r="C160" s="0" t="s">
        <v>3604</v>
      </c>
      <c r="D160" s="0" t="s">
        <v>3620</v>
      </c>
      <c r="E160" s="0" t="s">
        <v>3621</v>
      </c>
      <c r="F160" s="0" t="s">
        <v>3212</v>
      </c>
      <c r="G160" s="0" t="s">
        <v>3622</v>
      </c>
    </row>
    <row customHeight="1" ht="11.25">
      <c r="A161" s="164" t="s">
        <v>16</v>
      </c>
      <c r="B161" s="0" t="s">
        <v>3603</v>
      </c>
      <c r="C161" s="0" t="s">
        <v>3604</v>
      </c>
      <c r="D161" s="0" t="s">
        <v>3603</v>
      </c>
      <c r="E161" s="0" t="s">
        <v>3604</v>
      </c>
      <c r="F161" s="0" t="s">
        <v>3209</v>
      </c>
      <c r="G161" s="0" t="s">
        <v>3623</v>
      </c>
    </row>
    <row customHeight="1" ht="11.25">
      <c r="A162" s="164" t="s">
        <v>16</v>
      </c>
      <c r="B162" s="0" t="s">
        <v>3603</v>
      </c>
      <c r="C162" s="0" t="s">
        <v>3604</v>
      </c>
      <c r="D162" s="0" t="s">
        <v>3624</v>
      </c>
      <c r="E162" s="0" t="s">
        <v>3625</v>
      </c>
      <c r="F162" s="0" t="s">
        <v>3212</v>
      </c>
      <c r="G162" s="0" t="s">
        <v>3626</v>
      </c>
    </row>
    <row customHeight="1" ht="11.25">
      <c r="A163" s="164" t="s">
        <v>16</v>
      </c>
      <c r="B163" s="0" t="s">
        <v>3603</v>
      </c>
      <c r="C163" s="0" t="s">
        <v>3604</v>
      </c>
      <c r="D163" s="0" t="s">
        <v>3627</v>
      </c>
      <c r="E163" s="0" t="s">
        <v>3628</v>
      </c>
      <c r="F163" s="0" t="s">
        <v>3212</v>
      </c>
      <c r="G163" s="0" t="s">
        <v>3629</v>
      </c>
    </row>
    <row customHeight="1" ht="11.25">
      <c r="A164" s="164" t="s">
        <v>16</v>
      </c>
      <c r="B164" s="0" t="s">
        <v>3603</v>
      </c>
      <c r="C164" s="0" t="s">
        <v>3604</v>
      </c>
      <c r="D164" s="0" t="s">
        <v>3630</v>
      </c>
      <c r="E164" s="0" t="s">
        <v>3631</v>
      </c>
      <c r="F164" s="0" t="s">
        <v>3212</v>
      </c>
      <c r="G164" s="0" t="s">
        <v>3632</v>
      </c>
    </row>
    <row customHeight="1" ht="11.25">
      <c r="A165" s="164" t="s">
        <v>16</v>
      </c>
      <c r="B165" s="0" t="s">
        <v>3603</v>
      </c>
      <c r="C165" s="0" t="s">
        <v>3604</v>
      </c>
      <c r="D165" s="0" t="s">
        <v>3295</v>
      </c>
      <c r="E165" s="0" t="s">
        <v>3633</v>
      </c>
      <c r="F165" s="0" t="s">
        <v>3212</v>
      </c>
      <c r="G165" s="0" t="s">
        <v>3634</v>
      </c>
    </row>
    <row customHeight="1" ht="11.25">
      <c r="A166" s="164" t="s">
        <v>16</v>
      </c>
      <c r="B166" s="0" t="s">
        <v>3603</v>
      </c>
      <c r="C166" s="0" t="s">
        <v>3604</v>
      </c>
      <c r="D166" s="0" t="s">
        <v>3635</v>
      </c>
      <c r="E166" s="0" t="s">
        <v>3636</v>
      </c>
      <c r="F166" s="0" t="s">
        <v>3212</v>
      </c>
      <c r="G166" s="0" t="s">
        <v>3637</v>
      </c>
    </row>
    <row customHeight="1" ht="11.25">
      <c r="A167" s="164" t="s">
        <v>16</v>
      </c>
      <c r="B167" s="0" t="s">
        <v>3603</v>
      </c>
      <c r="C167" s="0" t="s">
        <v>3604</v>
      </c>
      <c r="D167" s="0" t="s">
        <v>3638</v>
      </c>
      <c r="E167" s="0" t="s">
        <v>3639</v>
      </c>
      <c r="F167" s="0" t="s">
        <v>3212</v>
      </c>
      <c r="G167" s="0" t="s">
        <v>3640</v>
      </c>
    </row>
    <row customHeight="1" ht="11.25">
      <c r="A168" s="164" t="s">
        <v>16</v>
      </c>
      <c r="B168" s="0" t="s">
        <v>3641</v>
      </c>
      <c r="C168" s="0" t="s">
        <v>3642</v>
      </c>
      <c r="D168" s="0" t="s">
        <v>3643</v>
      </c>
      <c r="E168" s="0" t="s">
        <v>3644</v>
      </c>
      <c r="F168" s="0" t="s">
        <v>3254</v>
      </c>
      <c r="G168" s="0" t="s">
        <v>3645</v>
      </c>
    </row>
    <row customHeight="1" ht="11.25">
      <c r="A169" s="164" t="s">
        <v>16</v>
      </c>
      <c r="B169" s="0" t="s">
        <v>3641</v>
      </c>
      <c r="C169" s="0" t="s">
        <v>3642</v>
      </c>
      <c r="D169" s="0" t="s">
        <v>3641</v>
      </c>
      <c r="E169" s="0" t="s">
        <v>3642</v>
      </c>
      <c r="F169" s="0" t="s">
        <v>3209</v>
      </c>
      <c r="G169" s="0" t="s">
        <v>3646</v>
      </c>
    </row>
    <row customHeight="1" ht="11.25">
      <c r="A170" s="164" t="s">
        <v>16</v>
      </c>
      <c r="B170" s="0" t="s">
        <v>3641</v>
      </c>
      <c r="C170" s="0" t="s">
        <v>3642</v>
      </c>
      <c r="D170" s="0" t="s">
        <v>3647</v>
      </c>
      <c r="E170" s="0" t="s">
        <v>3648</v>
      </c>
      <c r="F170" s="0" t="s">
        <v>3212</v>
      </c>
      <c r="G170" s="0" t="s">
        <v>3649</v>
      </c>
    </row>
    <row customHeight="1" ht="11.25">
      <c r="A171" s="164" t="s">
        <v>16</v>
      </c>
      <c r="B171" s="0" t="s">
        <v>3650</v>
      </c>
      <c r="C171" s="0" t="s">
        <v>3651</v>
      </c>
      <c r="D171" s="0" t="s">
        <v>3652</v>
      </c>
      <c r="E171" s="0" t="s">
        <v>3653</v>
      </c>
      <c r="F171" s="0" t="s">
        <v>3212</v>
      </c>
      <c r="G171" s="0" t="s">
        <v>3654</v>
      </c>
    </row>
    <row customHeight="1" ht="11.25">
      <c r="A172" s="164" t="s">
        <v>16</v>
      </c>
      <c r="B172" s="0" t="s">
        <v>3650</v>
      </c>
      <c r="C172" s="0" t="s">
        <v>3651</v>
      </c>
      <c r="D172" s="0" t="s">
        <v>3655</v>
      </c>
      <c r="E172" s="0" t="s">
        <v>3656</v>
      </c>
      <c r="F172" s="0" t="s">
        <v>3212</v>
      </c>
      <c r="G172" s="0" t="s">
        <v>3657</v>
      </c>
    </row>
    <row customHeight="1" ht="11.25">
      <c r="A173" s="164" t="s">
        <v>16</v>
      </c>
      <c r="B173" s="0" t="s">
        <v>3650</v>
      </c>
      <c r="C173" s="0" t="s">
        <v>3651</v>
      </c>
      <c r="D173" s="0" t="s">
        <v>3658</v>
      </c>
      <c r="E173" s="0" t="s">
        <v>3659</v>
      </c>
      <c r="F173" s="0" t="s">
        <v>3212</v>
      </c>
      <c r="G173" s="0" t="s">
        <v>3660</v>
      </c>
    </row>
    <row customHeight="1" ht="11.25">
      <c r="A174" s="164" t="s">
        <v>16</v>
      </c>
      <c r="B174" s="0" t="s">
        <v>3650</v>
      </c>
      <c r="C174" s="0" t="s">
        <v>3651</v>
      </c>
      <c r="D174" s="0" t="s">
        <v>3661</v>
      </c>
      <c r="E174" s="0" t="s">
        <v>3662</v>
      </c>
      <c r="F174" s="0" t="s">
        <v>3212</v>
      </c>
      <c r="G174" s="0" t="s">
        <v>3663</v>
      </c>
    </row>
    <row customHeight="1" ht="11.25">
      <c r="A175" s="164" t="s">
        <v>16</v>
      </c>
      <c r="B175" s="0" t="s">
        <v>3650</v>
      </c>
      <c r="C175" s="0" t="s">
        <v>3651</v>
      </c>
      <c r="D175" s="0" t="s">
        <v>3664</v>
      </c>
      <c r="E175" s="0" t="s">
        <v>3665</v>
      </c>
      <c r="F175" s="0" t="s">
        <v>3212</v>
      </c>
      <c r="G175" s="0" t="s">
        <v>3666</v>
      </c>
    </row>
    <row customHeight="1" ht="11.25">
      <c r="A176" s="164" t="s">
        <v>16</v>
      </c>
      <c r="B176" s="0" t="s">
        <v>3650</v>
      </c>
      <c r="C176" s="0" t="s">
        <v>3651</v>
      </c>
      <c r="D176" s="0" t="s">
        <v>3650</v>
      </c>
      <c r="E176" s="0" t="s">
        <v>3651</v>
      </c>
      <c r="F176" s="0" t="s">
        <v>3209</v>
      </c>
      <c r="G176" s="0" t="s">
        <v>3667</v>
      </c>
    </row>
    <row customHeight="1" ht="11.25">
      <c r="A177" s="164" t="s">
        <v>16</v>
      </c>
      <c r="B177" s="0" t="s">
        <v>3650</v>
      </c>
      <c r="C177" s="0" t="s">
        <v>3651</v>
      </c>
      <c r="D177" s="0" t="s">
        <v>3668</v>
      </c>
      <c r="E177" s="0" t="s">
        <v>3669</v>
      </c>
      <c r="F177" s="0" t="s">
        <v>3254</v>
      </c>
      <c r="G177" s="0" t="s">
        <v>3670</v>
      </c>
    </row>
    <row customHeight="1" ht="11.25">
      <c r="A178" s="164" t="s">
        <v>16</v>
      </c>
      <c r="B178" s="0" t="s">
        <v>3650</v>
      </c>
      <c r="C178" s="0" t="s">
        <v>3651</v>
      </c>
      <c r="D178" s="0" t="s">
        <v>3671</v>
      </c>
      <c r="E178" s="0" t="s">
        <v>3672</v>
      </c>
      <c r="F178" s="0" t="s">
        <v>3212</v>
      </c>
      <c r="G178" s="0" t="s">
        <v>3673</v>
      </c>
    </row>
    <row customHeight="1" ht="11.25">
      <c r="A179" s="164" t="s">
        <v>16</v>
      </c>
      <c r="B179" s="0" t="s">
        <v>3650</v>
      </c>
      <c r="C179" s="0" t="s">
        <v>3651</v>
      </c>
      <c r="D179" s="0" t="s">
        <v>3293</v>
      </c>
      <c r="E179" s="0" t="s">
        <v>3674</v>
      </c>
      <c r="F179" s="0" t="s">
        <v>3212</v>
      </c>
      <c r="G179" s="0" t="s">
        <v>3675</v>
      </c>
    </row>
    <row customHeight="1" ht="11.25">
      <c r="A180" s="164" t="s">
        <v>16</v>
      </c>
      <c r="B180" s="0" t="s">
        <v>3650</v>
      </c>
      <c r="C180" s="0" t="s">
        <v>3651</v>
      </c>
      <c r="D180" s="0" t="s">
        <v>3676</v>
      </c>
      <c r="E180" s="0" t="s">
        <v>3677</v>
      </c>
      <c r="F180" s="0" t="s">
        <v>3212</v>
      </c>
      <c r="G180" s="0" t="s">
        <v>3678</v>
      </c>
    </row>
    <row customHeight="1" ht="11.25">
      <c r="A181" s="164" t="s">
        <v>16</v>
      </c>
      <c r="B181" s="0" t="s">
        <v>3650</v>
      </c>
      <c r="C181" s="0" t="s">
        <v>3651</v>
      </c>
      <c r="D181" s="0" t="s">
        <v>3679</v>
      </c>
      <c r="E181" s="0" t="s">
        <v>3680</v>
      </c>
      <c r="F181" s="0" t="s">
        <v>3212</v>
      </c>
      <c r="G181" s="0" t="s">
        <v>3681</v>
      </c>
    </row>
    <row customHeight="1" ht="11.25">
      <c r="A182" s="164" t="s">
        <v>16</v>
      </c>
      <c r="B182" s="0" t="s">
        <v>3682</v>
      </c>
      <c r="C182" s="0" t="s">
        <v>3683</v>
      </c>
      <c r="D182" s="0" t="s">
        <v>3684</v>
      </c>
      <c r="E182" s="0" t="s">
        <v>3685</v>
      </c>
      <c r="F182" s="0" t="s">
        <v>3221</v>
      </c>
      <c r="G182" s="0" t="s">
        <v>3686</v>
      </c>
    </row>
    <row customHeight="1" ht="11.25">
      <c r="A183" s="164" t="s">
        <v>16</v>
      </c>
      <c r="B183" s="0" t="s">
        <v>3682</v>
      </c>
      <c r="C183" s="0" t="s">
        <v>3683</v>
      </c>
      <c r="D183" s="0" t="s">
        <v>3687</v>
      </c>
      <c r="E183" s="0" t="s">
        <v>3688</v>
      </c>
      <c r="F183" s="0" t="s">
        <v>3212</v>
      </c>
      <c r="G183" s="0" t="s">
        <v>3689</v>
      </c>
    </row>
    <row customHeight="1" ht="11.25">
      <c r="A184" s="164" t="s">
        <v>16</v>
      </c>
      <c r="B184" s="0" t="s">
        <v>3682</v>
      </c>
      <c r="C184" s="0" t="s">
        <v>3683</v>
      </c>
      <c r="D184" s="0" t="s">
        <v>3690</v>
      </c>
      <c r="E184" s="0" t="s">
        <v>3691</v>
      </c>
      <c r="F184" s="0" t="s">
        <v>3212</v>
      </c>
      <c r="G184" s="0" t="s">
        <v>3692</v>
      </c>
    </row>
    <row customHeight="1" ht="11.25">
      <c r="A185" s="164" t="s">
        <v>16</v>
      </c>
      <c r="B185" s="0" t="s">
        <v>3682</v>
      </c>
      <c r="C185" s="0" t="s">
        <v>3683</v>
      </c>
      <c r="D185" s="0" t="s">
        <v>3257</v>
      </c>
      <c r="E185" s="0" t="s">
        <v>3693</v>
      </c>
      <c r="F185" s="0" t="s">
        <v>3212</v>
      </c>
      <c r="G185" s="0" t="s">
        <v>3694</v>
      </c>
    </row>
    <row customHeight="1" ht="11.25">
      <c r="A186" s="164" t="s">
        <v>16</v>
      </c>
      <c r="B186" s="0" t="s">
        <v>3682</v>
      </c>
      <c r="C186" s="0" t="s">
        <v>3683</v>
      </c>
      <c r="D186" s="0" t="s">
        <v>3682</v>
      </c>
      <c r="E186" s="0" t="s">
        <v>3683</v>
      </c>
      <c r="F186" s="0" t="s">
        <v>3209</v>
      </c>
      <c r="G186" s="0" t="s">
        <v>3695</v>
      </c>
    </row>
    <row customHeight="1" ht="11.25">
      <c r="A187" s="164" t="s">
        <v>16</v>
      </c>
      <c r="B187" s="0" t="s">
        <v>3682</v>
      </c>
      <c r="C187" s="0" t="s">
        <v>3683</v>
      </c>
      <c r="D187" s="0" t="s">
        <v>3696</v>
      </c>
      <c r="E187" s="0" t="s">
        <v>3697</v>
      </c>
      <c r="F187" s="0" t="s">
        <v>3212</v>
      </c>
      <c r="G187" s="0" t="s">
        <v>3698</v>
      </c>
    </row>
    <row customHeight="1" ht="11.25">
      <c r="A188" s="164" t="s">
        <v>16</v>
      </c>
      <c r="B188" s="0" t="s">
        <v>3682</v>
      </c>
      <c r="C188" s="0" t="s">
        <v>3683</v>
      </c>
      <c r="D188" s="0" t="s">
        <v>3699</v>
      </c>
      <c r="E188" s="0" t="s">
        <v>3700</v>
      </c>
      <c r="F188" s="0" t="s">
        <v>3212</v>
      </c>
      <c r="G188" s="0" t="s">
        <v>3701</v>
      </c>
    </row>
    <row customHeight="1" ht="11.25">
      <c r="A189" s="164" t="s">
        <v>16</v>
      </c>
      <c r="B189" s="0" t="s">
        <v>3682</v>
      </c>
      <c r="C189" s="0" t="s">
        <v>3683</v>
      </c>
      <c r="D189" s="0" t="s">
        <v>3702</v>
      </c>
      <c r="E189" s="0" t="s">
        <v>3703</v>
      </c>
      <c r="F189" s="0" t="s">
        <v>3212</v>
      </c>
      <c r="G189" s="0" t="s">
        <v>3704</v>
      </c>
    </row>
    <row customHeight="1" ht="11.25">
      <c r="A190" s="164" t="s">
        <v>16</v>
      </c>
      <c r="B190" s="0" t="s">
        <v>3705</v>
      </c>
      <c r="C190" s="0" t="s">
        <v>3706</v>
      </c>
      <c r="D190" s="0" t="s">
        <v>3707</v>
      </c>
      <c r="E190" s="0" t="s">
        <v>3708</v>
      </c>
      <c r="F190" s="0" t="s">
        <v>3212</v>
      </c>
      <c r="G190" s="0" t="s">
        <v>3709</v>
      </c>
    </row>
    <row customHeight="1" ht="11.25">
      <c r="A191" s="164" t="s">
        <v>16</v>
      </c>
      <c r="B191" s="0" t="s">
        <v>3705</v>
      </c>
      <c r="C191" s="0" t="s">
        <v>3706</v>
      </c>
      <c r="D191" s="0" t="s">
        <v>3705</v>
      </c>
      <c r="E191" s="0" t="s">
        <v>3706</v>
      </c>
      <c r="F191" s="0" t="s">
        <v>3209</v>
      </c>
      <c r="G191" s="0" t="s">
        <v>3710</v>
      </c>
    </row>
    <row customHeight="1" ht="11.25">
      <c r="A192" s="164" t="s">
        <v>16</v>
      </c>
      <c r="B192" s="0" t="s">
        <v>3705</v>
      </c>
      <c r="C192" s="0" t="s">
        <v>3706</v>
      </c>
      <c r="D192" s="0" t="s">
        <v>3711</v>
      </c>
      <c r="E192" s="0" t="s">
        <v>3712</v>
      </c>
      <c r="F192" s="0" t="s">
        <v>3254</v>
      </c>
      <c r="G192" s="0" t="s">
        <v>3713</v>
      </c>
    </row>
    <row customHeight="1" ht="11.25">
      <c r="A193" s="164" t="s">
        <v>16</v>
      </c>
      <c r="B193" s="0" t="s">
        <v>3705</v>
      </c>
      <c r="C193" s="0" t="s">
        <v>3706</v>
      </c>
      <c r="D193" s="0" t="s">
        <v>3714</v>
      </c>
      <c r="E193" s="0" t="s">
        <v>3715</v>
      </c>
      <c r="F193" s="0" t="s">
        <v>3212</v>
      </c>
      <c r="G193" s="0" t="s">
        <v>3716</v>
      </c>
    </row>
    <row customHeight="1" ht="11.25">
      <c r="A194" s="164" t="s">
        <v>16</v>
      </c>
      <c r="B194" s="0" t="s">
        <v>3717</v>
      </c>
      <c r="C194" s="0" t="s">
        <v>3718</v>
      </c>
      <c r="D194" s="0" t="s">
        <v>3719</v>
      </c>
      <c r="E194" s="0" t="s">
        <v>3720</v>
      </c>
      <c r="F194" s="0" t="s">
        <v>3212</v>
      </c>
      <c r="G194" s="0" t="s">
        <v>3721</v>
      </c>
    </row>
    <row customHeight="1" ht="11.25">
      <c r="A195" s="164" t="s">
        <v>16</v>
      </c>
      <c r="B195" s="0" t="s">
        <v>3717</v>
      </c>
      <c r="C195" s="0" t="s">
        <v>3718</v>
      </c>
      <c r="D195" s="0" t="s">
        <v>3722</v>
      </c>
      <c r="E195" s="0" t="s">
        <v>3723</v>
      </c>
      <c r="F195" s="0" t="s">
        <v>3212</v>
      </c>
      <c r="G195" s="0" t="s">
        <v>3724</v>
      </c>
    </row>
    <row customHeight="1" ht="11.25">
      <c r="A196" s="164" t="s">
        <v>16</v>
      </c>
      <c r="B196" s="0" t="s">
        <v>3717</v>
      </c>
      <c r="C196" s="0" t="s">
        <v>3718</v>
      </c>
      <c r="D196" s="0" t="s">
        <v>3725</v>
      </c>
      <c r="E196" s="0" t="s">
        <v>3726</v>
      </c>
      <c r="F196" s="0" t="s">
        <v>3221</v>
      </c>
      <c r="G196" s="0" t="s">
        <v>3727</v>
      </c>
    </row>
    <row customHeight="1" ht="11.25">
      <c r="A197" s="164" t="s">
        <v>16</v>
      </c>
      <c r="B197" s="0" t="s">
        <v>3717</v>
      </c>
      <c r="C197" s="0" t="s">
        <v>3718</v>
      </c>
      <c r="D197" s="0" t="s">
        <v>3728</v>
      </c>
      <c r="E197" s="0" t="s">
        <v>3729</v>
      </c>
      <c r="F197" s="0" t="s">
        <v>3212</v>
      </c>
      <c r="G197" s="0" t="s">
        <v>3730</v>
      </c>
    </row>
    <row customHeight="1" ht="11.25">
      <c r="A198" s="164" t="s">
        <v>16</v>
      </c>
      <c r="B198" s="0" t="s">
        <v>3717</v>
      </c>
      <c r="C198" s="0" t="s">
        <v>3718</v>
      </c>
      <c r="D198" s="0" t="s">
        <v>3421</v>
      </c>
      <c r="E198" s="0" t="s">
        <v>3731</v>
      </c>
      <c r="F198" s="0" t="s">
        <v>3212</v>
      </c>
      <c r="G198" s="0" t="s">
        <v>3732</v>
      </c>
    </row>
    <row customHeight="1" ht="11.25">
      <c r="A199" s="164" t="s">
        <v>16</v>
      </c>
      <c r="B199" s="0" t="s">
        <v>3717</v>
      </c>
      <c r="C199" s="0" t="s">
        <v>3718</v>
      </c>
      <c r="D199" s="0" t="s">
        <v>3733</v>
      </c>
      <c r="E199" s="0" t="s">
        <v>3734</v>
      </c>
      <c r="F199" s="0" t="s">
        <v>3212</v>
      </c>
      <c r="G199" s="0" t="s">
        <v>3735</v>
      </c>
    </row>
    <row customHeight="1" ht="11.25">
      <c r="A200" s="164" t="s">
        <v>16</v>
      </c>
      <c r="B200" s="0" t="s">
        <v>3717</v>
      </c>
      <c r="C200" s="0" t="s">
        <v>3718</v>
      </c>
      <c r="D200" s="0" t="s">
        <v>3340</v>
      </c>
      <c r="E200" s="0" t="s">
        <v>3736</v>
      </c>
      <c r="F200" s="0" t="s">
        <v>3212</v>
      </c>
      <c r="G200" s="0" t="s">
        <v>3737</v>
      </c>
    </row>
    <row customHeight="1" ht="11.25">
      <c r="A201" s="164" t="s">
        <v>16</v>
      </c>
      <c r="B201" s="0" t="s">
        <v>3717</v>
      </c>
      <c r="C201" s="0" t="s">
        <v>3718</v>
      </c>
      <c r="D201" s="0" t="s">
        <v>3717</v>
      </c>
      <c r="E201" s="0" t="s">
        <v>3718</v>
      </c>
      <c r="F201" s="0" t="s">
        <v>3209</v>
      </c>
      <c r="G201" s="0" t="s">
        <v>3738</v>
      </c>
    </row>
    <row customHeight="1" ht="11.25">
      <c r="A202" s="164" t="s">
        <v>16</v>
      </c>
      <c r="B202" s="0" t="s">
        <v>3717</v>
      </c>
      <c r="C202" s="0" t="s">
        <v>3718</v>
      </c>
      <c r="D202" s="0" t="s">
        <v>3739</v>
      </c>
      <c r="E202" s="0" t="s">
        <v>3740</v>
      </c>
      <c r="F202" s="0" t="s">
        <v>3212</v>
      </c>
      <c r="G202" s="0" t="s">
        <v>3741</v>
      </c>
    </row>
    <row customHeight="1" ht="11.25">
      <c r="A203" s="164" t="s">
        <v>16</v>
      </c>
      <c r="B203" s="0" t="s">
        <v>3717</v>
      </c>
      <c r="C203" s="0" t="s">
        <v>3718</v>
      </c>
      <c r="D203" s="0" t="s">
        <v>3742</v>
      </c>
      <c r="E203" s="0" t="s">
        <v>3743</v>
      </c>
      <c r="F203" s="0" t="s">
        <v>3212</v>
      </c>
      <c r="G203" s="0" t="s">
        <v>3744</v>
      </c>
    </row>
    <row customHeight="1" ht="11.25">
      <c r="A204" s="164" t="s">
        <v>16</v>
      </c>
      <c r="B204" s="0" t="s">
        <v>3717</v>
      </c>
      <c r="C204" s="0" t="s">
        <v>3718</v>
      </c>
      <c r="D204" s="0" t="s">
        <v>3745</v>
      </c>
      <c r="E204" s="0" t="s">
        <v>3746</v>
      </c>
      <c r="F204" s="0" t="s">
        <v>3212</v>
      </c>
      <c r="G204" s="0" t="s">
        <v>3747</v>
      </c>
    </row>
    <row customHeight="1" ht="11.25">
      <c r="A205" s="164" t="s">
        <v>16</v>
      </c>
      <c r="B205" s="0" t="s">
        <v>3717</v>
      </c>
      <c r="C205" s="0" t="s">
        <v>3718</v>
      </c>
      <c r="D205" s="0" t="s">
        <v>3748</v>
      </c>
      <c r="E205" s="0" t="s">
        <v>3749</v>
      </c>
      <c r="F205" s="0" t="s">
        <v>3212</v>
      </c>
      <c r="G205" s="0" t="s">
        <v>3750</v>
      </c>
    </row>
    <row customHeight="1" ht="11.25">
      <c r="A206" s="164" t="s">
        <v>16</v>
      </c>
      <c r="B206" s="0" t="s">
        <v>3751</v>
      </c>
      <c r="C206" s="0" t="s">
        <v>3752</v>
      </c>
      <c r="D206" s="0" t="s">
        <v>3753</v>
      </c>
      <c r="E206" s="0" t="s">
        <v>3754</v>
      </c>
      <c r="F206" s="0" t="s">
        <v>3212</v>
      </c>
      <c r="G206" s="0" t="s">
        <v>3755</v>
      </c>
    </row>
    <row customHeight="1" ht="11.25">
      <c r="A207" s="164" t="s">
        <v>16</v>
      </c>
      <c r="B207" s="0" t="s">
        <v>3751</v>
      </c>
      <c r="C207" s="0" t="s">
        <v>3752</v>
      </c>
      <c r="D207" s="0" t="s">
        <v>3756</v>
      </c>
      <c r="E207" s="0" t="s">
        <v>3757</v>
      </c>
      <c r="F207" s="0" t="s">
        <v>3212</v>
      </c>
      <c r="G207" s="0" t="s">
        <v>3758</v>
      </c>
    </row>
    <row customHeight="1" ht="11.25">
      <c r="A208" s="164" t="s">
        <v>16</v>
      </c>
      <c r="B208" s="0" t="s">
        <v>3751</v>
      </c>
      <c r="C208" s="0" t="s">
        <v>3752</v>
      </c>
      <c r="D208" s="0" t="s">
        <v>3759</v>
      </c>
      <c r="E208" s="0" t="s">
        <v>3760</v>
      </c>
      <c r="F208" s="0" t="s">
        <v>3212</v>
      </c>
      <c r="G208" s="0" t="s">
        <v>3761</v>
      </c>
    </row>
    <row customHeight="1" ht="11.25">
      <c r="A209" s="164" t="s">
        <v>16</v>
      </c>
      <c r="B209" s="0" t="s">
        <v>3751</v>
      </c>
      <c r="C209" s="0" t="s">
        <v>3752</v>
      </c>
      <c r="D209" s="0" t="s">
        <v>3257</v>
      </c>
      <c r="E209" s="0" t="s">
        <v>3762</v>
      </c>
      <c r="F209" s="0" t="s">
        <v>3212</v>
      </c>
      <c r="G209" s="0" t="s">
        <v>3763</v>
      </c>
    </row>
    <row customHeight="1" ht="11.25">
      <c r="A210" s="164" t="s">
        <v>16</v>
      </c>
      <c r="B210" s="0" t="s">
        <v>3751</v>
      </c>
      <c r="C210" s="0" t="s">
        <v>3752</v>
      </c>
      <c r="D210" s="0" t="s">
        <v>3549</v>
      </c>
      <c r="E210" s="0" t="s">
        <v>3764</v>
      </c>
      <c r="F210" s="0" t="s">
        <v>3212</v>
      </c>
      <c r="G210" s="0" t="s">
        <v>3765</v>
      </c>
    </row>
    <row customHeight="1" ht="11.25">
      <c r="A211" s="164" t="s">
        <v>16</v>
      </c>
      <c r="B211" s="0" t="s">
        <v>3751</v>
      </c>
      <c r="C211" s="0" t="s">
        <v>3752</v>
      </c>
      <c r="D211" s="0" t="s">
        <v>3751</v>
      </c>
      <c r="E211" s="0" t="s">
        <v>3752</v>
      </c>
      <c r="F211" s="0" t="s">
        <v>3209</v>
      </c>
      <c r="G211" s="0" t="s">
        <v>3766</v>
      </c>
    </row>
    <row customHeight="1" ht="11.25">
      <c r="A212" s="164" t="s">
        <v>16</v>
      </c>
      <c r="B212" s="0" t="s">
        <v>3751</v>
      </c>
      <c r="C212" s="0" t="s">
        <v>3752</v>
      </c>
      <c r="D212" s="0" t="s">
        <v>3767</v>
      </c>
      <c r="E212" s="0" t="s">
        <v>3768</v>
      </c>
      <c r="F212" s="0" t="s">
        <v>3254</v>
      </c>
      <c r="G212" s="0" t="s">
        <v>3769</v>
      </c>
    </row>
    <row customHeight="1" ht="11.25">
      <c r="A213" s="164" t="s">
        <v>16</v>
      </c>
      <c r="B213" s="0" t="s">
        <v>3751</v>
      </c>
      <c r="C213" s="0" t="s">
        <v>3752</v>
      </c>
      <c r="D213" s="0" t="s">
        <v>3770</v>
      </c>
      <c r="E213" s="0" t="s">
        <v>3771</v>
      </c>
      <c r="F213" s="0" t="s">
        <v>3212</v>
      </c>
      <c r="G213" s="0" t="s">
        <v>3772</v>
      </c>
    </row>
    <row customHeight="1" ht="11.25">
      <c r="A214" s="164" t="s">
        <v>16</v>
      </c>
      <c r="B214" s="0" t="s">
        <v>3751</v>
      </c>
      <c r="C214" s="0" t="s">
        <v>3752</v>
      </c>
      <c r="D214" s="0" t="s">
        <v>3773</v>
      </c>
      <c r="E214" s="0" t="s">
        <v>3774</v>
      </c>
      <c r="F214" s="0" t="s">
        <v>3212</v>
      </c>
      <c r="G214" s="0" t="s">
        <v>3775</v>
      </c>
    </row>
    <row customHeight="1" ht="11.25">
      <c r="A215" s="164" t="s">
        <v>16</v>
      </c>
      <c r="B215" s="0" t="s">
        <v>3751</v>
      </c>
      <c r="C215" s="0" t="s">
        <v>3752</v>
      </c>
      <c r="D215" s="0" t="s">
        <v>3776</v>
      </c>
      <c r="E215" s="0" t="s">
        <v>3777</v>
      </c>
      <c r="F215" s="0" t="s">
        <v>3212</v>
      </c>
      <c r="G215" s="0" t="s">
        <v>3778</v>
      </c>
    </row>
    <row customHeight="1" ht="11.25">
      <c r="A216" s="164" t="s">
        <v>16</v>
      </c>
      <c r="B216" s="0" t="s">
        <v>3751</v>
      </c>
      <c r="C216" s="0" t="s">
        <v>3752</v>
      </c>
      <c r="D216" s="0" t="s">
        <v>3779</v>
      </c>
      <c r="E216" s="0" t="s">
        <v>3780</v>
      </c>
      <c r="F216" s="0" t="s">
        <v>3212</v>
      </c>
      <c r="G216" s="0" t="s">
        <v>3781</v>
      </c>
    </row>
    <row customHeight="1" ht="11.25">
      <c r="A217" s="164" t="s">
        <v>16</v>
      </c>
      <c r="B217" s="0" t="s">
        <v>3751</v>
      </c>
      <c r="C217" s="0" t="s">
        <v>3752</v>
      </c>
      <c r="D217" s="0" t="s">
        <v>3782</v>
      </c>
      <c r="E217" s="0" t="s">
        <v>3783</v>
      </c>
      <c r="F217" s="0" t="s">
        <v>3212</v>
      </c>
      <c r="G217" s="0" t="s">
        <v>3784</v>
      </c>
    </row>
    <row customHeight="1" ht="11.25">
      <c r="A218" s="164" t="s">
        <v>16</v>
      </c>
      <c r="B218" s="0" t="s">
        <v>3785</v>
      </c>
      <c r="C218" s="0" t="s">
        <v>3786</v>
      </c>
      <c r="D218" s="0" t="s">
        <v>3787</v>
      </c>
      <c r="E218" s="0" t="s">
        <v>3788</v>
      </c>
      <c r="F218" s="0" t="s">
        <v>3212</v>
      </c>
      <c r="G218" s="0" t="s">
        <v>3789</v>
      </c>
    </row>
    <row customHeight="1" ht="11.25">
      <c r="A219" s="164" t="s">
        <v>16</v>
      </c>
      <c r="B219" s="0" t="s">
        <v>3785</v>
      </c>
      <c r="C219" s="0" t="s">
        <v>3786</v>
      </c>
      <c r="D219" s="0" t="s">
        <v>3790</v>
      </c>
      <c r="E219" s="0" t="s">
        <v>3791</v>
      </c>
      <c r="F219" s="0" t="s">
        <v>3212</v>
      </c>
      <c r="G219" s="0" t="s">
        <v>3792</v>
      </c>
    </row>
    <row customHeight="1" ht="11.25">
      <c r="A220" s="164" t="s">
        <v>16</v>
      </c>
      <c r="B220" s="0" t="s">
        <v>3785</v>
      </c>
      <c r="C220" s="0" t="s">
        <v>3786</v>
      </c>
      <c r="D220" s="0" t="s">
        <v>3793</v>
      </c>
      <c r="E220" s="0" t="s">
        <v>3794</v>
      </c>
      <c r="F220" s="0" t="s">
        <v>3212</v>
      </c>
      <c r="G220" s="0" t="s">
        <v>3795</v>
      </c>
    </row>
    <row customHeight="1" ht="11.25">
      <c r="A221" s="164" t="s">
        <v>16</v>
      </c>
      <c r="B221" s="0" t="s">
        <v>3785</v>
      </c>
      <c r="C221" s="0" t="s">
        <v>3786</v>
      </c>
      <c r="D221" s="0" t="s">
        <v>3796</v>
      </c>
      <c r="E221" s="0" t="s">
        <v>3797</v>
      </c>
      <c r="F221" s="0" t="s">
        <v>3212</v>
      </c>
      <c r="G221" s="0" t="s">
        <v>3798</v>
      </c>
    </row>
    <row customHeight="1" ht="11.25">
      <c r="A222" s="164" t="s">
        <v>16</v>
      </c>
      <c r="B222" s="0" t="s">
        <v>3785</v>
      </c>
      <c r="C222" s="0" t="s">
        <v>3786</v>
      </c>
      <c r="D222" s="0" t="s">
        <v>3799</v>
      </c>
      <c r="E222" s="0" t="s">
        <v>3800</v>
      </c>
      <c r="F222" s="0" t="s">
        <v>3212</v>
      </c>
      <c r="G222" s="0" t="s">
        <v>3801</v>
      </c>
    </row>
    <row customHeight="1" ht="11.25">
      <c r="A223" s="164" t="s">
        <v>16</v>
      </c>
      <c r="B223" s="0" t="s">
        <v>3785</v>
      </c>
      <c r="C223" s="0" t="s">
        <v>3786</v>
      </c>
      <c r="D223" s="0" t="s">
        <v>3802</v>
      </c>
      <c r="E223" s="0" t="s">
        <v>3803</v>
      </c>
      <c r="F223" s="0" t="s">
        <v>3212</v>
      </c>
      <c r="G223" s="0" t="s">
        <v>3804</v>
      </c>
    </row>
    <row customHeight="1" ht="11.25">
      <c r="A224" s="164" t="s">
        <v>16</v>
      </c>
      <c r="B224" s="0" t="s">
        <v>3785</v>
      </c>
      <c r="C224" s="0" t="s">
        <v>3786</v>
      </c>
      <c r="D224" s="0" t="s">
        <v>3293</v>
      </c>
      <c r="E224" s="0" t="s">
        <v>3805</v>
      </c>
      <c r="F224" s="0" t="s">
        <v>3212</v>
      </c>
      <c r="G224" s="0" t="s">
        <v>3806</v>
      </c>
    </row>
    <row customHeight="1" ht="11.25">
      <c r="A225" s="164" t="s">
        <v>16</v>
      </c>
      <c r="B225" s="0" t="s">
        <v>3785</v>
      </c>
      <c r="C225" s="0" t="s">
        <v>3786</v>
      </c>
      <c r="D225" s="0" t="s">
        <v>3295</v>
      </c>
      <c r="E225" s="0" t="s">
        <v>3807</v>
      </c>
      <c r="F225" s="0" t="s">
        <v>3212</v>
      </c>
      <c r="G225" s="0" t="s">
        <v>3808</v>
      </c>
    </row>
    <row customHeight="1" ht="11.25">
      <c r="A226" s="164" t="s">
        <v>16</v>
      </c>
      <c r="B226" s="0" t="s">
        <v>3785</v>
      </c>
      <c r="C226" s="0" t="s">
        <v>3786</v>
      </c>
      <c r="D226" s="0" t="s">
        <v>3785</v>
      </c>
      <c r="E226" s="0" t="s">
        <v>3786</v>
      </c>
      <c r="F226" s="0" t="s">
        <v>3209</v>
      </c>
      <c r="G226" s="0" t="s">
        <v>3809</v>
      </c>
    </row>
    <row customHeight="1" ht="11.25">
      <c r="A227" s="164" t="s">
        <v>16</v>
      </c>
      <c r="B227" s="0" t="s">
        <v>3785</v>
      </c>
      <c r="C227" s="0" t="s">
        <v>3786</v>
      </c>
      <c r="D227" s="0" t="s">
        <v>3810</v>
      </c>
      <c r="E227" s="0" t="s">
        <v>3811</v>
      </c>
      <c r="F227" s="0" t="s">
        <v>3212</v>
      </c>
      <c r="G227" s="0" t="s">
        <v>3812</v>
      </c>
    </row>
    <row customHeight="1" ht="11.25">
      <c r="A228" s="164" t="s">
        <v>16</v>
      </c>
      <c r="B228" s="0" t="s">
        <v>3785</v>
      </c>
      <c r="C228" s="0" t="s">
        <v>3786</v>
      </c>
      <c r="D228" s="0" t="s">
        <v>3813</v>
      </c>
      <c r="E228" s="0" t="s">
        <v>3814</v>
      </c>
      <c r="F228" s="0" t="s">
        <v>3212</v>
      </c>
      <c r="G228" s="0" t="s">
        <v>3815</v>
      </c>
    </row>
    <row customHeight="1" ht="11.25">
      <c r="A229" s="164" t="s">
        <v>16</v>
      </c>
      <c r="B229" s="0" t="s">
        <v>3785</v>
      </c>
      <c r="C229" s="0" t="s">
        <v>3786</v>
      </c>
      <c r="D229" s="0" t="s">
        <v>3714</v>
      </c>
      <c r="E229" s="0" t="s">
        <v>3816</v>
      </c>
      <c r="F229" s="0" t="s">
        <v>3212</v>
      </c>
      <c r="G229" s="0" t="s">
        <v>3817</v>
      </c>
    </row>
    <row customHeight="1" ht="11.25">
      <c r="A230" s="164" t="s">
        <v>16</v>
      </c>
      <c r="B230" s="0" t="s">
        <v>3785</v>
      </c>
      <c r="C230" s="0" t="s">
        <v>3786</v>
      </c>
      <c r="D230" s="0" t="s">
        <v>3818</v>
      </c>
      <c r="E230" s="0" t="s">
        <v>3819</v>
      </c>
      <c r="F230" s="0" t="s">
        <v>3212</v>
      </c>
      <c r="G230" s="0" t="s">
        <v>3820</v>
      </c>
    </row>
    <row customHeight="1" ht="11.25">
      <c r="A231" s="164" t="s">
        <v>16</v>
      </c>
      <c r="B231" s="0" t="s">
        <v>3821</v>
      </c>
      <c r="C231" s="0" t="s">
        <v>3822</v>
      </c>
      <c r="D231" s="0" t="s">
        <v>3823</v>
      </c>
      <c r="E231" s="0" t="s">
        <v>3824</v>
      </c>
      <c r="F231" s="0" t="s">
        <v>3212</v>
      </c>
      <c r="G231" s="0" t="s">
        <v>3825</v>
      </c>
    </row>
    <row customHeight="1" ht="11.25">
      <c r="A232" s="164" t="s">
        <v>16</v>
      </c>
      <c r="B232" s="0" t="s">
        <v>3821</v>
      </c>
      <c r="C232" s="0" t="s">
        <v>3822</v>
      </c>
      <c r="D232" s="0" t="s">
        <v>3826</v>
      </c>
      <c r="E232" s="0" t="s">
        <v>3827</v>
      </c>
      <c r="F232" s="0" t="s">
        <v>3221</v>
      </c>
      <c r="G232" s="0" t="s">
        <v>3828</v>
      </c>
    </row>
    <row customHeight="1" ht="11.25">
      <c r="A233" s="164" t="s">
        <v>16</v>
      </c>
      <c r="B233" s="0" t="s">
        <v>3821</v>
      </c>
      <c r="C233" s="0" t="s">
        <v>3822</v>
      </c>
      <c r="D233" s="0" t="s">
        <v>3829</v>
      </c>
      <c r="E233" s="0" t="s">
        <v>3830</v>
      </c>
      <c r="F233" s="0" t="s">
        <v>3212</v>
      </c>
      <c r="G233" s="0" t="s">
        <v>3831</v>
      </c>
    </row>
    <row customHeight="1" ht="11.25">
      <c r="A234" s="164" t="s">
        <v>16</v>
      </c>
      <c r="B234" s="0" t="s">
        <v>3821</v>
      </c>
      <c r="C234" s="0" t="s">
        <v>3822</v>
      </c>
      <c r="D234" s="0" t="s">
        <v>3430</v>
      </c>
      <c r="E234" s="0" t="s">
        <v>3832</v>
      </c>
      <c r="F234" s="0" t="s">
        <v>3212</v>
      </c>
      <c r="G234" s="0" t="s">
        <v>3833</v>
      </c>
    </row>
    <row customHeight="1" ht="11.25">
      <c r="A235" s="164" t="s">
        <v>16</v>
      </c>
      <c r="B235" s="0" t="s">
        <v>3821</v>
      </c>
      <c r="C235" s="0" t="s">
        <v>3822</v>
      </c>
      <c r="D235" s="0" t="s">
        <v>3821</v>
      </c>
      <c r="E235" s="0" t="s">
        <v>3822</v>
      </c>
      <c r="F235" s="0" t="s">
        <v>3209</v>
      </c>
      <c r="G235" s="0" t="s">
        <v>3834</v>
      </c>
    </row>
    <row customHeight="1" ht="11.25">
      <c r="A236" s="164" t="s">
        <v>16</v>
      </c>
      <c r="B236" s="0" t="s">
        <v>3821</v>
      </c>
      <c r="C236" s="0" t="s">
        <v>3822</v>
      </c>
      <c r="D236" s="0" t="s">
        <v>3835</v>
      </c>
      <c r="E236" s="0" t="s">
        <v>3836</v>
      </c>
      <c r="F236" s="0" t="s">
        <v>3212</v>
      </c>
      <c r="G236" s="0" t="s">
        <v>3837</v>
      </c>
    </row>
    <row customHeight="1" ht="11.25">
      <c r="A237" s="164" t="s">
        <v>16</v>
      </c>
      <c r="B237" s="0" t="s">
        <v>3821</v>
      </c>
      <c r="C237" s="0" t="s">
        <v>3822</v>
      </c>
      <c r="D237" s="0" t="s">
        <v>3838</v>
      </c>
      <c r="E237" s="0" t="s">
        <v>3839</v>
      </c>
      <c r="F237" s="0" t="s">
        <v>3212</v>
      </c>
      <c r="G237" s="0" t="s">
        <v>3840</v>
      </c>
    </row>
    <row customHeight="1" ht="11.25">
      <c r="A238" s="164" t="s">
        <v>16</v>
      </c>
      <c r="B238" s="0" t="s">
        <v>3841</v>
      </c>
      <c r="C238" s="0" t="s">
        <v>3842</v>
      </c>
      <c r="D238" s="0" t="s">
        <v>3843</v>
      </c>
      <c r="E238" s="0" t="s">
        <v>3844</v>
      </c>
      <c r="F238" s="0" t="s">
        <v>3212</v>
      </c>
      <c r="G238" s="0" t="s">
        <v>3845</v>
      </c>
    </row>
    <row customHeight="1" ht="11.25">
      <c r="A239" s="164" t="s">
        <v>16</v>
      </c>
      <c r="B239" s="0" t="s">
        <v>3841</v>
      </c>
      <c r="C239" s="0" t="s">
        <v>3842</v>
      </c>
      <c r="D239" s="0" t="s">
        <v>3846</v>
      </c>
      <c r="E239" s="0" t="s">
        <v>3847</v>
      </c>
      <c r="F239" s="0" t="s">
        <v>3212</v>
      </c>
      <c r="G239" s="0" t="s">
        <v>3848</v>
      </c>
    </row>
    <row customHeight="1" ht="11.25">
      <c r="A240" s="164" t="s">
        <v>16</v>
      </c>
      <c r="B240" s="0" t="s">
        <v>3841</v>
      </c>
      <c r="C240" s="0" t="s">
        <v>3842</v>
      </c>
      <c r="D240" s="0" t="s">
        <v>3849</v>
      </c>
      <c r="E240" s="0" t="s">
        <v>3850</v>
      </c>
      <c r="F240" s="0" t="s">
        <v>3212</v>
      </c>
      <c r="G240" s="0" t="s">
        <v>3851</v>
      </c>
    </row>
    <row customHeight="1" ht="11.25">
      <c r="A241" s="164" t="s">
        <v>16</v>
      </c>
      <c r="B241" s="0" t="s">
        <v>3841</v>
      </c>
      <c r="C241" s="0" t="s">
        <v>3842</v>
      </c>
      <c r="D241" s="0" t="s">
        <v>3852</v>
      </c>
      <c r="E241" s="0" t="s">
        <v>3853</v>
      </c>
      <c r="F241" s="0" t="s">
        <v>3212</v>
      </c>
      <c r="G241" s="0" t="s">
        <v>3854</v>
      </c>
    </row>
    <row customHeight="1" ht="11.25">
      <c r="A242" s="164" t="s">
        <v>16</v>
      </c>
      <c r="B242" s="0" t="s">
        <v>3841</v>
      </c>
      <c r="C242" s="0" t="s">
        <v>3842</v>
      </c>
      <c r="D242" s="0" t="s">
        <v>3855</v>
      </c>
      <c r="E242" s="0" t="s">
        <v>3856</v>
      </c>
      <c r="F242" s="0" t="s">
        <v>3212</v>
      </c>
      <c r="G242" s="0" t="s">
        <v>3857</v>
      </c>
    </row>
    <row customHeight="1" ht="11.25">
      <c r="A243" s="164" t="s">
        <v>16</v>
      </c>
      <c r="B243" s="0" t="s">
        <v>3841</v>
      </c>
      <c r="C243" s="0" t="s">
        <v>3842</v>
      </c>
      <c r="D243" s="0" t="s">
        <v>3858</v>
      </c>
      <c r="E243" s="0" t="s">
        <v>3859</v>
      </c>
      <c r="F243" s="0" t="s">
        <v>3212</v>
      </c>
      <c r="G243" s="0" t="s">
        <v>3860</v>
      </c>
    </row>
    <row customHeight="1" ht="11.25">
      <c r="A244" s="164" t="s">
        <v>16</v>
      </c>
      <c r="B244" s="0" t="s">
        <v>3841</v>
      </c>
      <c r="C244" s="0" t="s">
        <v>3842</v>
      </c>
      <c r="D244" s="0" t="s">
        <v>3401</v>
      </c>
      <c r="E244" s="0" t="s">
        <v>3861</v>
      </c>
      <c r="F244" s="0" t="s">
        <v>3212</v>
      </c>
      <c r="G244" s="0" t="s">
        <v>3862</v>
      </c>
    </row>
    <row customHeight="1" ht="11.25">
      <c r="A245" s="164" t="s">
        <v>16</v>
      </c>
      <c r="B245" s="0" t="s">
        <v>3841</v>
      </c>
      <c r="C245" s="0" t="s">
        <v>3842</v>
      </c>
      <c r="D245" s="0" t="s">
        <v>3841</v>
      </c>
      <c r="E245" s="0" t="s">
        <v>3842</v>
      </c>
      <c r="F245" s="0" t="s">
        <v>3209</v>
      </c>
      <c r="G245" s="0" t="s">
        <v>3863</v>
      </c>
    </row>
    <row customHeight="1" ht="11.25">
      <c r="A246" s="164" t="s">
        <v>16</v>
      </c>
      <c r="B246" s="0" t="s">
        <v>3841</v>
      </c>
      <c r="C246" s="0" t="s">
        <v>3842</v>
      </c>
      <c r="D246" s="0" t="s">
        <v>3864</v>
      </c>
      <c r="E246" s="0" t="s">
        <v>3865</v>
      </c>
      <c r="F246" s="0" t="s">
        <v>3212</v>
      </c>
      <c r="G246" s="0" t="s">
        <v>3866</v>
      </c>
    </row>
    <row customHeight="1" ht="11.25">
      <c r="A247" s="164" t="s">
        <v>16</v>
      </c>
      <c r="B247" s="0" t="s">
        <v>3867</v>
      </c>
      <c r="C247" s="0" t="s">
        <v>3868</v>
      </c>
      <c r="D247" s="0" t="s">
        <v>3869</v>
      </c>
      <c r="E247" s="0" t="s">
        <v>3870</v>
      </c>
      <c r="F247" s="0" t="s">
        <v>3221</v>
      </c>
      <c r="G247" s="0" t="s">
        <v>3871</v>
      </c>
    </row>
    <row customHeight="1" ht="11.25">
      <c r="A248" s="164" t="s">
        <v>16</v>
      </c>
      <c r="B248" s="0" t="s">
        <v>3867</v>
      </c>
      <c r="C248" s="0" t="s">
        <v>3868</v>
      </c>
      <c r="D248" s="0" t="s">
        <v>3872</v>
      </c>
      <c r="E248" s="0" t="s">
        <v>3873</v>
      </c>
      <c r="F248" s="0" t="s">
        <v>3212</v>
      </c>
      <c r="G248" s="0" t="s">
        <v>3874</v>
      </c>
    </row>
    <row customHeight="1" ht="11.25">
      <c r="A249" s="164" t="s">
        <v>16</v>
      </c>
      <c r="B249" s="0" t="s">
        <v>3867</v>
      </c>
      <c r="C249" s="0" t="s">
        <v>3868</v>
      </c>
      <c r="D249" s="0" t="s">
        <v>3756</v>
      </c>
      <c r="E249" s="0" t="s">
        <v>3875</v>
      </c>
      <c r="F249" s="0" t="s">
        <v>3212</v>
      </c>
      <c r="G249" s="0" t="s">
        <v>3876</v>
      </c>
    </row>
    <row customHeight="1" ht="11.25">
      <c r="A250" s="164" t="s">
        <v>16</v>
      </c>
      <c r="B250" s="0" t="s">
        <v>3867</v>
      </c>
      <c r="C250" s="0" t="s">
        <v>3868</v>
      </c>
      <c r="D250" s="0" t="s">
        <v>3877</v>
      </c>
      <c r="E250" s="0" t="s">
        <v>3878</v>
      </c>
      <c r="F250" s="0" t="s">
        <v>3212</v>
      </c>
      <c r="G250" s="0" t="s">
        <v>3879</v>
      </c>
    </row>
    <row customHeight="1" ht="11.25">
      <c r="A251" s="164" t="s">
        <v>16</v>
      </c>
      <c r="B251" s="0" t="s">
        <v>3867</v>
      </c>
      <c r="C251" s="0" t="s">
        <v>3868</v>
      </c>
      <c r="D251" s="0" t="s">
        <v>3880</v>
      </c>
      <c r="E251" s="0" t="s">
        <v>3881</v>
      </c>
      <c r="F251" s="0" t="s">
        <v>3212</v>
      </c>
      <c r="G251" s="0" t="s">
        <v>3882</v>
      </c>
    </row>
    <row customHeight="1" ht="11.25">
      <c r="A252" s="164" t="s">
        <v>16</v>
      </c>
      <c r="B252" s="0" t="s">
        <v>3867</v>
      </c>
      <c r="C252" s="0" t="s">
        <v>3868</v>
      </c>
      <c r="D252" s="0" t="s">
        <v>3883</v>
      </c>
      <c r="E252" s="0" t="s">
        <v>3884</v>
      </c>
      <c r="F252" s="0" t="s">
        <v>3212</v>
      </c>
      <c r="G252" s="0" t="s">
        <v>3885</v>
      </c>
    </row>
    <row customHeight="1" ht="11.25">
      <c r="A253" s="164" t="s">
        <v>16</v>
      </c>
      <c r="B253" s="0" t="s">
        <v>3867</v>
      </c>
      <c r="C253" s="0" t="s">
        <v>3868</v>
      </c>
      <c r="D253" s="0" t="s">
        <v>3886</v>
      </c>
      <c r="E253" s="0" t="s">
        <v>3887</v>
      </c>
      <c r="F253" s="0" t="s">
        <v>3212</v>
      </c>
      <c r="G253" s="0" t="s">
        <v>3888</v>
      </c>
    </row>
    <row customHeight="1" ht="11.25">
      <c r="A254" s="164" t="s">
        <v>16</v>
      </c>
      <c r="B254" s="0" t="s">
        <v>3867</v>
      </c>
      <c r="C254" s="0" t="s">
        <v>3868</v>
      </c>
      <c r="D254" s="0" t="s">
        <v>3867</v>
      </c>
      <c r="E254" s="0" t="s">
        <v>3868</v>
      </c>
      <c r="F254" s="0" t="s">
        <v>3209</v>
      </c>
      <c r="G254" s="0" t="s">
        <v>3889</v>
      </c>
    </row>
    <row customHeight="1" ht="11.25">
      <c r="A255" s="164" t="s">
        <v>16</v>
      </c>
      <c r="B255" s="0" t="s">
        <v>3867</v>
      </c>
      <c r="C255" s="0" t="s">
        <v>3868</v>
      </c>
      <c r="D255" s="0" t="s">
        <v>3890</v>
      </c>
      <c r="E255" s="0" t="s">
        <v>3891</v>
      </c>
      <c r="F255" s="0" t="s">
        <v>3212</v>
      </c>
      <c r="G255" s="0" t="s">
        <v>3892</v>
      </c>
    </row>
    <row customHeight="1" ht="11.25">
      <c r="A256" s="164" t="s">
        <v>16</v>
      </c>
      <c r="B256" s="0" t="s">
        <v>3867</v>
      </c>
      <c r="C256" s="0" t="s">
        <v>3868</v>
      </c>
      <c r="D256" s="0" t="s">
        <v>3893</v>
      </c>
      <c r="E256" s="0" t="s">
        <v>3894</v>
      </c>
      <c r="F256" s="0" t="s">
        <v>3212</v>
      </c>
      <c r="G256" s="0" t="s">
        <v>3895</v>
      </c>
    </row>
    <row customHeight="1" ht="11.25">
      <c r="A257" s="164" t="s">
        <v>16</v>
      </c>
      <c r="B257" s="0" t="s">
        <v>3896</v>
      </c>
      <c r="C257" s="0" t="s">
        <v>3897</v>
      </c>
      <c r="D257" s="0" t="s">
        <v>3898</v>
      </c>
      <c r="E257" s="0" t="s">
        <v>3899</v>
      </c>
      <c r="F257" s="0" t="s">
        <v>3212</v>
      </c>
      <c r="G257" s="0" t="s">
        <v>3900</v>
      </c>
    </row>
    <row customHeight="1" ht="11.25">
      <c r="A258" s="164" t="s">
        <v>16</v>
      </c>
      <c r="B258" s="0" t="s">
        <v>3896</v>
      </c>
      <c r="C258" s="0" t="s">
        <v>3897</v>
      </c>
      <c r="D258" s="0" t="s">
        <v>3901</v>
      </c>
      <c r="E258" s="0" t="s">
        <v>3902</v>
      </c>
      <c r="F258" s="0" t="s">
        <v>3212</v>
      </c>
      <c r="G258" s="0" t="s">
        <v>3903</v>
      </c>
    </row>
    <row customHeight="1" ht="11.25">
      <c r="A259" s="164" t="s">
        <v>16</v>
      </c>
      <c r="B259" s="0" t="s">
        <v>3896</v>
      </c>
      <c r="C259" s="0" t="s">
        <v>3897</v>
      </c>
      <c r="D259" s="0" t="s">
        <v>3904</v>
      </c>
      <c r="E259" s="0" t="s">
        <v>3905</v>
      </c>
      <c r="F259" s="0" t="s">
        <v>3212</v>
      </c>
      <c r="G259" s="0" t="s">
        <v>3906</v>
      </c>
    </row>
    <row customHeight="1" ht="11.25">
      <c r="A260" s="164" t="s">
        <v>16</v>
      </c>
      <c r="B260" s="0" t="s">
        <v>3896</v>
      </c>
      <c r="C260" s="0" t="s">
        <v>3897</v>
      </c>
      <c r="D260" s="0" t="s">
        <v>3295</v>
      </c>
      <c r="E260" s="0" t="s">
        <v>3907</v>
      </c>
      <c r="F260" s="0" t="s">
        <v>3212</v>
      </c>
      <c r="G260" s="0" t="s">
        <v>3908</v>
      </c>
    </row>
    <row customHeight="1" ht="11.25">
      <c r="A261" s="164" t="s">
        <v>16</v>
      </c>
      <c r="B261" s="0" t="s">
        <v>3896</v>
      </c>
      <c r="C261" s="0" t="s">
        <v>3897</v>
      </c>
      <c r="D261" s="0" t="s">
        <v>3702</v>
      </c>
      <c r="E261" s="0" t="s">
        <v>3909</v>
      </c>
      <c r="F261" s="0" t="s">
        <v>3212</v>
      </c>
      <c r="G261" s="0" t="s">
        <v>3910</v>
      </c>
    </row>
    <row customHeight="1" ht="11.25">
      <c r="A262" s="164" t="s">
        <v>16</v>
      </c>
      <c r="B262" s="0" t="s">
        <v>3896</v>
      </c>
      <c r="C262" s="0" t="s">
        <v>3897</v>
      </c>
      <c r="D262" s="0" t="s">
        <v>3911</v>
      </c>
      <c r="E262" s="0" t="s">
        <v>3912</v>
      </c>
      <c r="F262" s="0" t="s">
        <v>3212</v>
      </c>
      <c r="G262" s="0" t="s">
        <v>3913</v>
      </c>
    </row>
    <row customHeight="1" ht="11.25">
      <c r="A263" s="164" t="s">
        <v>16</v>
      </c>
      <c r="B263" s="0" t="s">
        <v>3896</v>
      </c>
      <c r="C263" s="0" t="s">
        <v>3897</v>
      </c>
      <c r="D263" s="0" t="s">
        <v>3896</v>
      </c>
      <c r="E263" s="0" t="s">
        <v>3897</v>
      </c>
      <c r="F263" s="0" t="s">
        <v>3209</v>
      </c>
      <c r="G263" s="0" t="s">
        <v>3914</v>
      </c>
    </row>
    <row customHeight="1" ht="11.25">
      <c r="A264" s="164" t="s">
        <v>16</v>
      </c>
      <c r="B264" s="0" t="s">
        <v>3896</v>
      </c>
      <c r="C264" s="0" t="s">
        <v>3897</v>
      </c>
      <c r="D264" s="0" t="s">
        <v>3915</v>
      </c>
      <c r="E264" s="0" t="s">
        <v>3916</v>
      </c>
      <c r="F264" s="0" t="s">
        <v>3254</v>
      </c>
      <c r="G264" s="0" t="s">
        <v>3917</v>
      </c>
    </row>
    <row customHeight="1" ht="11.25">
      <c r="A265" s="164" t="s">
        <v>16</v>
      </c>
      <c r="B265" s="0" t="s">
        <v>3896</v>
      </c>
      <c r="C265" s="0" t="s">
        <v>3897</v>
      </c>
      <c r="D265" s="0" t="s">
        <v>3918</v>
      </c>
      <c r="E265" s="0" t="s">
        <v>3919</v>
      </c>
      <c r="F265" s="0" t="s">
        <v>3212</v>
      </c>
      <c r="G265" s="0" t="s">
        <v>3920</v>
      </c>
    </row>
    <row customHeight="1" ht="11.25">
      <c r="A266" s="164" t="s">
        <v>16</v>
      </c>
      <c r="B266" s="0" t="s">
        <v>3921</v>
      </c>
      <c r="C266" s="0" t="s">
        <v>3922</v>
      </c>
      <c r="D266" s="0" t="s">
        <v>3923</v>
      </c>
      <c r="E266" s="0" t="s">
        <v>3924</v>
      </c>
      <c r="F266" s="0" t="s">
        <v>3212</v>
      </c>
      <c r="G266" s="0" t="s">
        <v>3925</v>
      </c>
    </row>
    <row customHeight="1" ht="11.25">
      <c r="A267" s="164" t="s">
        <v>16</v>
      </c>
      <c r="B267" s="0" t="s">
        <v>3921</v>
      </c>
      <c r="C267" s="0" t="s">
        <v>3922</v>
      </c>
      <c r="D267" s="0" t="s">
        <v>3926</v>
      </c>
      <c r="E267" s="0" t="s">
        <v>3927</v>
      </c>
      <c r="F267" s="0" t="s">
        <v>3212</v>
      </c>
      <c r="G267" s="0" t="s">
        <v>3928</v>
      </c>
    </row>
    <row customHeight="1" ht="11.25">
      <c r="A268" s="164" t="s">
        <v>16</v>
      </c>
      <c r="B268" s="0" t="s">
        <v>3921</v>
      </c>
      <c r="C268" s="0" t="s">
        <v>3922</v>
      </c>
      <c r="D268" s="0" t="s">
        <v>3929</v>
      </c>
      <c r="E268" s="0" t="s">
        <v>3930</v>
      </c>
      <c r="F268" s="0" t="s">
        <v>3212</v>
      </c>
      <c r="G268" s="0" t="s">
        <v>3931</v>
      </c>
    </row>
    <row customHeight="1" ht="11.25">
      <c r="A269" s="164" t="s">
        <v>16</v>
      </c>
      <c r="B269" s="0" t="s">
        <v>3921</v>
      </c>
      <c r="C269" s="0" t="s">
        <v>3922</v>
      </c>
      <c r="D269" s="0" t="s">
        <v>3932</v>
      </c>
      <c r="E269" s="0" t="s">
        <v>3933</v>
      </c>
      <c r="F269" s="0" t="s">
        <v>3212</v>
      </c>
      <c r="G269" s="0" t="s">
        <v>3934</v>
      </c>
    </row>
    <row customHeight="1" ht="11.25">
      <c r="A270" s="164" t="s">
        <v>16</v>
      </c>
      <c r="B270" s="0" t="s">
        <v>3921</v>
      </c>
      <c r="C270" s="0" t="s">
        <v>3922</v>
      </c>
      <c r="D270" s="0" t="s">
        <v>3921</v>
      </c>
      <c r="E270" s="0" t="s">
        <v>3922</v>
      </c>
      <c r="F270" s="0" t="s">
        <v>3209</v>
      </c>
      <c r="G270" s="0" t="s">
        <v>3935</v>
      </c>
    </row>
    <row customHeight="1" ht="11.25">
      <c r="A271" s="164" t="s">
        <v>16</v>
      </c>
      <c r="B271" s="0" t="s">
        <v>3921</v>
      </c>
      <c r="C271" s="0" t="s">
        <v>3922</v>
      </c>
      <c r="D271" s="0" t="s">
        <v>3936</v>
      </c>
      <c r="E271" s="0" t="s">
        <v>3937</v>
      </c>
      <c r="F271" s="0" t="s">
        <v>3254</v>
      </c>
      <c r="G271" s="0" t="s">
        <v>3938</v>
      </c>
    </row>
    <row customHeight="1" ht="11.25">
      <c r="A272" s="164" t="s">
        <v>16</v>
      </c>
      <c r="B272" s="0" t="s">
        <v>3921</v>
      </c>
      <c r="C272" s="0" t="s">
        <v>3922</v>
      </c>
      <c r="D272" s="0" t="s">
        <v>3939</v>
      </c>
      <c r="E272" s="0" t="s">
        <v>3940</v>
      </c>
      <c r="F272" s="0" t="s">
        <v>3212</v>
      </c>
      <c r="G272" s="0" t="s">
        <v>3941</v>
      </c>
    </row>
    <row customHeight="1" ht="11.25">
      <c r="A273" s="164" t="s">
        <v>16</v>
      </c>
      <c r="B273" s="0" t="s">
        <v>3942</v>
      </c>
      <c r="C273" s="0" t="s">
        <v>3943</v>
      </c>
      <c r="D273" s="0" t="s">
        <v>3944</v>
      </c>
      <c r="E273" s="0" t="s">
        <v>3945</v>
      </c>
      <c r="F273" s="0" t="s">
        <v>3221</v>
      </c>
      <c r="G273" s="0" t="s">
        <v>3946</v>
      </c>
    </row>
    <row customHeight="1" ht="11.25">
      <c r="A274" s="164" t="s">
        <v>16</v>
      </c>
      <c r="B274" s="0" t="s">
        <v>3942</v>
      </c>
      <c r="C274" s="0" t="s">
        <v>3943</v>
      </c>
      <c r="D274" s="0" t="s">
        <v>3947</v>
      </c>
      <c r="E274" s="0" t="s">
        <v>3948</v>
      </c>
      <c r="F274" s="0" t="s">
        <v>3212</v>
      </c>
      <c r="G274" s="0" t="s">
        <v>3949</v>
      </c>
    </row>
    <row customHeight="1" ht="11.25">
      <c r="A275" s="164" t="s">
        <v>16</v>
      </c>
      <c r="B275" s="0" t="s">
        <v>3942</v>
      </c>
      <c r="C275" s="0" t="s">
        <v>3943</v>
      </c>
      <c r="D275" s="0" t="s">
        <v>3950</v>
      </c>
      <c r="E275" s="0" t="s">
        <v>3951</v>
      </c>
      <c r="F275" s="0" t="s">
        <v>3212</v>
      </c>
      <c r="G275" s="0" t="s">
        <v>3952</v>
      </c>
    </row>
    <row customHeight="1" ht="11.25">
      <c r="A276" s="164" t="s">
        <v>16</v>
      </c>
      <c r="B276" s="0" t="s">
        <v>3942</v>
      </c>
      <c r="C276" s="0" t="s">
        <v>3943</v>
      </c>
      <c r="D276" s="0" t="s">
        <v>3293</v>
      </c>
      <c r="E276" s="0" t="s">
        <v>3953</v>
      </c>
      <c r="F276" s="0" t="s">
        <v>3212</v>
      </c>
      <c r="G276" s="0" t="s">
        <v>3954</v>
      </c>
    </row>
    <row customHeight="1" ht="11.25">
      <c r="A277" s="164" t="s">
        <v>16</v>
      </c>
      <c r="B277" s="0" t="s">
        <v>3942</v>
      </c>
      <c r="C277" s="0" t="s">
        <v>3943</v>
      </c>
      <c r="D277" s="0" t="s">
        <v>3942</v>
      </c>
      <c r="E277" s="0" t="s">
        <v>3943</v>
      </c>
      <c r="F277" s="0" t="s">
        <v>3209</v>
      </c>
      <c r="G277" s="0" t="s">
        <v>3955</v>
      </c>
    </row>
    <row customHeight="1" ht="11.25">
      <c r="A278" s="164" t="s">
        <v>16</v>
      </c>
      <c r="B278" s="0" t="s">
        <v>3942</v>
      </c>
      <c r="C278" s="0" t="s">
        <v>3943</v>
      </c>
      <c r="D278" s="0" t="s">
        <v>3956</v>
      </c>
      <c r="E278" s="0" t="s">
        <v>3957</v>
      </c>
      <c r="F278" s="0" t="s">
        <v>3212</v>
      </c>
      <c r="G278" s="0" t="s">
        <v>3958</v>
      </c>
    </row>
    <row customHeight="1" ht="11.25">
      <c r="A279" s="164" t="s">
        <v>16</v>
      </c>
      <c r="B279" s="0" t="s">
        <v>3942</v>
      </c>
      <c r="C279" s="0" t="s">
        <v>3943</v>
      </c>
      <c r="D279" s="0" t="s">
        <v>3959</v>
      </c>
      <c r="E279" s="0" t="s">
        <v>3960</v>
      </c>
      <c r="F279" s="0" t="s">
        <v>3212</v>
      </c>
      <c r="G279" s="0" t="s">
        <v>3961</v>
      </c>
    </row>
    <row customHeight="1" ht="11.25">
      <c r="A280" s="164" t="s">
        <v>16</v>
      </c>
      <c r="B280" s="0" t="s">
        <v>3942</v>
      </c>
      <c r="C280" s="0" t="s">
        <v>3943</v>
      </c>
      <c r="D280" s="0" t="s">
        <v>3962</v>
      </c>
      <c r="E280" s="0" t="s">
        <v>3963</v>
      </c>
      <c r="F280" s="0" t="s">
        <v>3212</v>
      </c>
      <c r="G280" s="0" t="s">
        <v>3964</v>
      </c>
    </row>
    <row customHeight="1" ht="11.25">
      <c r="A281" s="164" t="s">
        <v>16</v>
      </c>
      <c r="B281" s="0" t="s">
        <v>3965</v>
      </c>
      <c r="C281" s="0" t="s">
        <v>3966</v>
      </c>
      <c r="D281" s="0" t="s">
        <v>3967</v>
      </c>
      <c r="E281" s="0" t="s">
        <v>3968</v>
      </c>
      <c r="F281" s="0" t="s">
        <v>3212</v>
      </c>
      <c r="G281" s="0" t="s">
        <v>3969</v>
      </c>
    </row>
    <row customHeight="1" ht="11.25">
      <c r="A282" s="164" t="s">
        <v>16</v>
      </c>
      <c r="B282" s="0" t="s">
        <v>3965</v>
      </c>
      <c r="C282" s="0" t="s">
        <v>3966</v>
      </c>
      <c r="D282" s="0" t="s">
        <v>3970</v>
      </c>
      <c r="E282" s="0" t="s">
        <v>3971</v>
      </c>
      <c r="F282" s="0" t="s">
        <v>3212</v>
      </c>
      <c r="G282" s="0" t="s">
        <v>3972</v>
      </c>
    </row>
    <row customHeight="1" ht="11.25">
      <c r="A283" s="164" t="s">
        <v>16</v>
      </c>
      <c r="B283" s="0" t="s">
        <v>3965</v>
      </c>
      <c r="C283" s="0" t="s">
        <v>3966</v>
      </c>
      <c r="D283" s="0" t="s">
        <v>3973</v>
      </c>
      <c r="E283" s="0" t="s">
        <v>3974</v>
      </c>
      <c r="F283" s="0" t="s">
        <v>3212</v>
      </c>
      <c r="G283" s="0" t="s">
        <v>3975</v>
      </c>
    </row>
    <row customHeight="1" ht="11.25">
      <c r="A284" s="164" t="s">
        <v>16</v>
      </c>
      <c r="B284" s="0" t="s">
        <v>3965</v>
      </c>
      <c r="C284" s="0" t="s">
        <v>3966</v>
      </c>
      <c r="D284" s="0" t="s">
        <v>3222</v>
      </c>
      <c r="E284" s="0" t="s">
        <v>3976</v>
      </c>
      <c r="F284" s="0" t="s">
        <v>3212</v>
      </c>
      <c r="G284" s="0" t="s">
        <v>3977</v>
      </c>
    </row>
    <row customHeight="1" ht="11.25">
      <c r="A285" s="164" t="s">
        <v>16</v>
      </c>
      <c r="B285" s="0" t="s">
        <v>3965</v>
      </c>
      <c r="C285" s="0" t="s">
        <v>3966</v>
      </c>
      <c r="D285" s="0" t="s">
        <v>3978</v>
      </c>
      <c r="E285" s="0" t="s">
        <v>3979</v>
      </c>
      <c r="F285" s="0" t="s">
        <v>3212</v>
      </c>
      <c r="G285" s="0" t="s">
        <v>3980</v>
      </c>
    </row>
    <row customHeight="1" ht="11.25">
      <c r="A286" s="164" t="s">
        <v>16</v>
      </c>
      <c r="B286" s="0" t="s">
        <v>3965</v>
      </c>
      <c r="C286" s="0" t="s">
        <v>3966</v>
      </c>
      <c r="D286" s="0" t="s">
        <v>3965</v>
      </c>
      <c r="E286" s="0" t="s">
        <v>3966</v>
      </c>
      <c r="F286" s="0" t="s">
        <v>3209</v>
      </c>
      <c r="G286" s="0" t="s">
        <v>3981</v>
      </c>
    </row>
    <row customHeight="1" ht="11.25">
      <c r="A287" s="164" t="s">
        <v>16</v>
      </c>
      <c r="B287" s="0" t="s">
        <v>3965</v>
      </c>
      <c r="C287" s="0" t="s">
        <v>3966</v>
      </c>
      <c r="D287" s="0" t="s">
        <v>3982</v>
      </c>
      <c r="E287" s="0" t="s">
        <v>3983</v>
      </c>
      <c r="F287" s="0" t="s">
        <v>3254</v>
      </c>
      <c r="G287" s="0" t="s">
        <v>3984</v>
      </c>
    </row>
    <row customHeight="1" ht="11.25">
      <c r="A288" s="164" t="s">
        <v>16</v>
      </c>
      <c r="B288" s="0" t="s">
        <v>3965</v>
      </c>
      <c r="C288" s="0" t="s">
        <v>3966</v>
      </c>
      <c r="D288" s="0" t="s">
        <v>3985</v>
      </c>
      <c r="E288" s="0" t="s">
        <v>3986</v>
      </c>
      <c r="F288" s="0" t="s">
        <v>3212</v>
      </c>
      <c r="G288" s="0" t="s">
        <v>3987</v>
      </c>
    </row>
    <row customHeight="1" ht="11.25">
      <c r="A289" s="164" t="s">
        <v>16</v>
      </c>
      <c r="B289" s="0" t="s">
        <v>3965</v>
      </c>
      <c r="C289" s="0" t="s">
        <v>3966</v>
      </c>
      <c r="D289" s="0" t="s">
        <v>3988</v>
      </c>
      <c r="E289" s="0" t="s">
        <v>3989</v>
      </c>
      <c r="F289" s="0" t="s">
        <v>3212</v>
      </c>
      <c r="G289" s="0" t="s">
        <v>3990</v>
      </c>
    </row>
    <row customHeight="1" ht="11.25">
      <c r="A290" s="164" t="s">
        <v>16</v>
      </c>
      <c r="B290" s="0" t="s">
        <v>3991</v>
      </c>
      <c r="C290" s="0" t="s">
        <v>3992</v>
      </c>
      <c r="D290" s="0" t="s">
        <v>3993</v>
      </c>
      <c r="E290" s="0" t="s">
        <v>3994</v>
      </c>
      <c r="F290" s="0" t="s">
        <v>3212</v>
      </c>
      <c r="G290" s="0" t="s">
        <v>3995</v>
      </c>
    </row>
    <row customHeight="1" ht="11.25">
      <c r="A291" s="164" t="s">
        <v>16</v>
      </c>
      <c r="B291" s="0" t="s">
        <v>3991</v>
      </c>
      <c r="C291" s="0" t="s">
        <v>3992</v>
      </c>
      <c r="D291" s="0" t="s">
        <v>3996</v>
      </c>
      <c r="E291" s="0" t="s">
        <v>3997</v>
      </c>
      <c r="F291" s="0" t="s">
        <v>3212</v>
      </c>
      <c r="G291" s="0" t="s">
        <v>3998</v>
      </c>
    </row>
    <row customHeight="1" ht="11.25">
      <c r="A292" s="164" t="s">
        <v>16</v>
      </c>
      <c r="B292" s="0" t="s">
        <v>3991</v>
      </c>
      <c r="C292" s="0" t="s">
        <v>3992</v>
      </c>
      <c r="D292" s="0" t="s">
        <v>3999</v>
      </c>
      <c r="E292" s="0" t="s">
        <v>4000</v>
      </c>
      <c r="F292" s="0" t="s">
        <v>3212</v>
      </c>
      <c r="G292" s="0" t="s">
        <v>4001</v>
      </c>
    </row>
    <row customHeight="1" ht="11.25">
      <c r="A293" s="164" t="s">
        <v>16</v>
      </c>
      <c r="B293" s="0" t="s">
        <v>3991</v>
      </c>
      <c r="C293" s="0" t="s">
        <v>3992</v>
      </c>
      <c r="D293" s="0" t="s">
        <v>4002</v>
      </c>
      <c r="E293" s="0" t="s">
        <v>4003</v>
      </c>
      <c r="F293" s="0" t="s">
        <v>3254</v>
      </c>
      <c r="G293" s="0" t="s">
        <v>4004</v>
      </c>
    </row>
    <row customHeight="1" ht="11.25">
      <c r="A294" s="164" t="s">
        <v>16</v>
      </c>
      <c r="B294" s="0" t="s">
        <v>3991</v>
      </c>
      <c r="C294" s="0" t="s">
        <v>3992</v>
      </c>
      <c r="D294" s="0" t="s">
        <v>4005</v>
      </c>
      <c r="E294" s="0" t="s">
        <v>4006</v>
      </c>
      <c r="F294" s="0" t="s">
        <v>3212</v>
      </c>
      <c r="G294" s="0" t="s">
        <v>4007</v>
      </c>
    </row>
    <row customHeight="1" ht="11.25">
      <c r="A295" s="164" t="s">
        <v>16</v>
      </c>
      <c r="B295" s="0" t="s">
        <v>3991</v>
      </c>
      <c r="C295" s="0" t="s">
        <v>3992</v>
      </c>
      <c r="D295" s="0" t="s">
        <v>3991</v>
      </c>
      <c r="E295" s="0" t="s">
        <v>3992</v>
      </c>
      <c r="F295" s="0" t="s">
        <v>3209</v>
      </c>
      <c r="G295" s="0" t="s">
        <v>4008</v>
      </c>
    </row>
    <row customHeight="1" ht="11.25">
      <c r="A296" s="164" t="s">
        <v>16</v>
      </c>
      <c r="B296" s="0" t="s">
        <v>3991</v>
      </c>
      <c r="C296" s="0" t="s">
        <v>3992</v>
      </c>
      <c r="D296" s="0" t="s">
        <v>3407</v>
      </c>
      <c r="E296" s="0" t="s">
        <v>4009</v>
      </c>
      <c r="F296" s="0" t="s">
        <v>3254</v>
      </c>
      <c r="G296" s="0" t="s">
        <v>4010</v>
      </c>
    </row>
    <row customHeight="1" ht="11.25">
      <c r="A297" s="164" t="s">
        <v>16</v>
      </c>
      <c r="B297" s="0" t="s">
        <v>3991</v>
      </c>
      <c r="C297" s="0" t="s">
        <v>3992</v>
      </c>
      <c r="D297" s="0" t="s">
        <v>4011</v>
      </c>
      <c r="E297" s="0" t="s">
        <v>4012</v>
      </c>
      <c r="F297" s="0" t="s">
        <v>3254</v>
      </c>
      <c r="G297" s="0" t="s">
        <v>4013</v>
      </c>
    </row>
    <row customHeight="1" ht="11.25">
      <c r="A298" s="164" t="s">
        <v>16</v>
      </c>
      <c r="B298" s="0" t="s">
        <v>4014</v>
      </c>
      <c r="C298" s="0" t="s">
        <v>4015</v>
      </c>
      <c r="D298" s="0" t="s">
        <v>4016</v>
      </c>
      <c r="E298" s="0" t="s">
        <v>4017</v>
      </c>
      <c r="F298" s="0" t="s">
        <v>3212</v>
      </c>
      <c r="G298" s="0" t="s">
        <v>4018</v>
      </c>
    </row>
    <row customHeight="1" ht="11.25">
      <c r="A299" s="164" t="s">
        <v>16</v>
      </c>
      <c r="B299" s="0" t="s">
        <v>4014</v>
      </c>
      <c r="C299" s="0" t="s">
        <v>4015</v>
      </c>
      <c r="D299" s="0" t="s">
        <v>4019</v>
      </c>
      <c r="E299" s="0" t="s">
        <v>4020</v>
      </c>
      <c r="F299" s="0" t="s">
        <v>3212</v>
      </c>
      <c r="G299" s="0" t="s">
        <v>4021</v>
      </c>
    </row>
    <row customHeight="1" ht="11.25">
      <c r="A300" s="164" t="s">
        <v>16</v>
      </c>
      <c r="B300" s="0" t="s">
        <v>4014</v>
      </c>
      <c r="C300" s="0" t="s">
        <v>4015</v>
      </c>
      <c r="D300" s="0" t="s">
        <v>3293</v>
      </c>
      <c r="E300" s="0" t="s">
        <v>4022</v>
      </c>
      <c r="F300" s="0" t="s">
        <v>3212</v>
      </c>
      <c r="G300" s="0" t="s">
        <v>4023</v>
      </c>
    </row>
    <row customHeight="1" ht="11.25">
      <c r="A301" s="164" t="s">
        <v>16</v>
      </c>
      <c r="B301" s="0" t="s">
        <v>4014</v>
      </c>
      <c r="C301" s="0" t="s">
        <v>4015</v>
      </c>
      <c r="D301" s="0" t="s">
        <v>4024</v>
      </c>
      <c r="E301" s="0" t="s">
        <v>4025</v>
      </c>
      <c r="F301" s="0" t="s">
        <v>3212</v>
      </c>
      <c r="G301" s="0" t="s">
        <v>4026</v>
      </c>
    </row>
    <row customHeight="1" ht="11.25">
      <c r="A302" s="164" t="s">
        <v>16</v>
      </c>
      <c r="B302" s="0" t="s">
        <v>4014</v>
      </c>
      <c r="C302" s="0" t="s">
        <v>4015</v>
      </c>
      <c r="D302" s="0" t="s">
        <v>4027</v>
      </c>
      <c r="E302" s="0" t="s">
        <v>4028</v>
      </c>
      <c r="F302" s="0" t="s">
        <v>3212</v>
      </c>
      <c r="G302" s="0" t="s">
        <v>4029</v>
      </c>
    </row>
    <row customHeight="1" ht="11.25">
      <c r="A303" s="164" t="s">
        <v>16</v>
      </c>
      <c r="B303" s="0" t="s">
        <v>4014</v>
      </c>
      <c r="C303" s="0" t="s">
        <v>4015</v>
      </c>
      <c r="D303" s="0" t="s">
        <v>4014</v>
      </c>
      <c r="E303" s="0" t="s">
        <v>4015</v>
      </c>
      <c r="F303" s="0" t="s">
        <v>3209</v>
      </c>
      <c r="G303" s="0" t="s">
        <v>4030</v>
      </c>
    </row>
    <row customHeight="1" ht="11.25">
      <c r="A304" s="164" t="s">
        <v>16</v>
      </c>
      <c r="B304" s="0" t="s">
        <v>4014</v>
      </c>
      <c r="C304" s="0" t="s">
        <v>4015</v>
      </c>
      <c r="D304" s="0" t="s">
        <v>4031</v>
      </c>
      <c r="E304" s="0" t="s">
        <v>4032</v>
      </c>
      <c r="F304" s="0" t="s">
        <v>3254</v>
      </c>
      <c r="G304" s="0" t="s">
        <v>4033</v>
      </c>
    </row>
    <row customHeight="1" ht="11.25">
      <c r="A305" s="164" t="s">
        <v>16</v>
      </c>
      <c r="B305" s="0" t="s">
        <v>4014</v>
      </c>
      <c r="C305" s="0" t="s">
        <v>4015</v>
      </c>
      <c r="D305" s="0" t="s">
        <v>4034</v>
      </c>
      <c r="E305" s="0" t="s">
        <v>4035</v>
      </c>
      <c r="F305" s="0" t="s">
        <v>3212</v>
      </c>
      <c r="G305" s="0" t="s">
        <v>4036</v>
      </c>
    </row>
    <row customHeight="1" ht="11.25">
      <c r="A306" s="164" t="s">
        <v>16</v>
      </c>
      <c r="B306" s="0" t="s">
        <v>4037</v>
      </c>
      <c r="C306" s="0" t="s">
        <v>4038</v>
      </c>
      <c r="D306" s="0" t="s">
        <v>4039</v>
      </c>
      <c r="E306" s="0" t="s">
        <v>4040</v>
      </c>
      <c r="F306" s="0" t="s">
        <v>3212</v>
      </c>
      <c r="G306" s="0" t="s">
        <v>4041</v>
      </c>
    </row>
    <row customHeight="1" ht="11.25">
      <c r="A307" s="164" t="s">
        <v>16</v>
      </c>
      <c r="B307" s="0" t="s">
        <v>4037</v>
      </c>
      <c r="C307" s="0" t="s">
        <v>4038</v>
      </c>
      <c r="D307" s="0" t="s">
        <v>4042</v>
      </c>
      <c r="E307" s="0" t="s">
        <v>4043</v>
      </c>
      <c r="F307" s="0" t="s">
        <v>3212</v>
      </c>
      <c r="G307" s="0" t="s">
        <v>4044</v>
      </c>
    </row>
    <row customHeight="1" ht="11.25">
      <c r="A308" s="164" t="s">
        <v>16</v>
      </c>
      <c r="B308" s="0" t="s">
        <v>4037</v>
      </c>
      <c r="C308" s="0" t="s">
        <v>4038</v>
      </c>
      <c r="D308" s="0" t="s">
        <v>4045</v>
      </c>
      <c r="E308" s="0" t="s">
        <v>4046</v>
      </c>
      <c r="F308" s="0" t="s">
        <v>3212</v>
      </c>
      <c r="G308" s="0" t="s">
        <v>4047</v>
      </c>
    </row>
    <row customHeight="1" ht="11.25">
      <c r="A309" s="164" t="s">
        <v>16</v>
      </c>
      <c r="B309" s="0" t="s">
        <v>4037</v>
      </c>
      <c r="C309" s="0" t="s">
        <v>4038</v>
      </c>
      <c r="D309" s="0" t="s">
        <v>4037</v>
      </c>
      <c r="E309" s="0" t="s">
        <v>4038</v>
      </c>
      <c r="F309" s="0" t="s">
        <v>3209</v>
      </c>
      <c r="G309" s="0" t="s">
        <v>4048</v>
      </c>
    </row>
    <row customHeight="1" ht="11.25">
      <c r="A310" s="164" t="s">
        <v>16</v>
      </c>
      <c r="B310" s="0" t="s">
        <v>4037</v>
      </c>
      <c r="C310" s="0" t="s">
        <v>4038</v>
      </c>
      <c r="D310" s="0" t="s">
        <v>4049</v>
      </c>
      <c r="E310" s="0" t="s">
        <v>4050</v>
      </c>
      <c r="F310" s="0" t="s">
        <v>3254</v>
      </c>
      <c r="G310" s="0" t="s">
        <v>4051</v>
      </c>
    </row>
    <row customHeight="1" ht="11.25">
      <c r="A311" s="164" t="s">
        <v>16</v>
      </c>
      <c r="B311" s="0" t="s">
        <v>4052</v>
      </c>
      <c r="C311" s="0" t="s">
        <v>4053</v>
      </c>
      <c r="D311" s="0" t="s">
        <v>4054</v>
      </c>
      <c r="E311" s="0" t="s">
        <v>4055</v>
      </c>
      <c r="F311" s="0" t="s">
        <v>3212</v>
      </c>
      <c r="G311" s="0" t="s">
        <v>4056</v>
      </c>
    </row>
    <row customHeight="1" ht="11.25">
      <c r="A312" s="164" t="s">
        <v>16</v>
      </c>
      <c r="B312" s="0" t="s">
        <v>4052</v>
      </c>
      <c r="C312" s="0" t="s">
        <v>4053</v>
      </c>
      <c r="D312" s="0" t="s">
        <v>4057</v>
      </c>
      <c r="E312" s="0" t="s">
        <v>4058</v>
      </c>
      <c r="F312" s="0" t="s">
        <v>3212</v>
      </c>
      <c r="G312" s="0" t="s">
        <v>4059</v>
      </c>
    </row>
    <row customHeight="1" ht="11.25">
      <c r="A313" s="164" t="s">
        <v>16</v>
      </c>
      <c r="B313" s="0" t="s">
        <v>4052</v>
      </c>
      <c r="C313" s="0" t="s">
        <v>4053</v>
      </c>
      <c r="D313" s="0" t="s">
        <v>4060</v>
      </c>
      <c r="E313" s="0" t="s">
        <v>4061</v>
      </c>
      <c r="F313" s="0" t="s">
        <v>3212</v>
      </c>
      <c r="G313" s="0" t="s">
        <v>4062</v>
      </c>
    </row>
    <row customHeight="1" ht="11.25">
      <c r="A314" s="164" t="s">
        <v>16</v>
      </c>
      <c r="B314" s="0" t="s">
        <v>4052</v>
      </c>
      <c r="C314" s="0" t="s">
        <v>4053</v>
      </c>
      <c r="D314" s="0" t="s">
        <v>4063</v>
      </c>
      <c r="E314" s="0" t="s">
        <v>4064</v>
      </c>
      <c r="F314" s="0" t="s">
        <v>3254</v>
      </c>
      <c r="G314" s="0" t="s">
        <v>4065</v>
      </c>
    </row>
    <row customHeight="1" ht="11.25">
      <c r="A315" s="164" t="s">
        <v>16</v>
      </c>
      <c r="B315" s="0" t="s">
        <v>4052</v>
      </c>
      <c r="C315" s="0" t="s">
        <v>4053</v>
      </c>
      <c r="D315" s="0" t="s">
        <v>4066</v>
      </c>
      <c r="E315" s="0" t="s">
        <v>4067</v>
      </c>
      <c r="F315" s="0" t="s">
        <v>3212</v>
      </c>
      <c r="G315" s="0" t="s">
        <v>4068</v>
      </c>
    </row>
    <row customHeight="1" ht="11.25">
      <c r="A316" s="164" t="s">
        <v>16</v>
      </c>
      <c r="B316" s="0" t="s">
        <v>4052</v>
      </c>
      <c r="C316" s="0" t="s">
        <v>4053</v>
      </c>
      <c r="D316" s="0" t="s">
        <v>3295</v>
      </c>
      <c r="E316" s="0" t="s">
        <v>4069</v>
      </c>
      <c r="F316" s="0" t="s">
        <v>3212</v>
      </c>
      <c r="G316" s="0" t="s">
        <v>4070</v>
      </c>
    </row>
    <row customHeight="1" ht="11.25">
      <c r="A317" s="164" t="s">
        <v>16</v>
      </c>
      <c r="B317" s="0" t="s">
        <v>4052</v>
      </c>
      <c r="C317" s="0" t="s">
        <v>4053</v>
      </c>
      <c r="D317" s="0" t="s">
        <v>3230</v>
      </c>
      <c r="E317" s="0" t="s">
        <v>4071</v>
      </c>
      <c r="F317" s="0" t="s">
        <v>3212</v>
      </c>
      <c r="G317" s="0" t="s">
        <v>4072</v>
      </c>
    </row>
    <row customHeight="1" ht="11.25">
      <c r="A318" s="164" t="s">
        <v>16</v>
      </c>
      <c r="B318" s="0" t="s">
        <v>4052</v>
      </c>
      <c r="C318" s="0" t="s">
        <v>4053</v>
      </c>
      <c r="D318" s="0" t="s">
        <v>4052</v>
      </c>
      <c r="E318" s="0" t="s">
        <v>4053</v>
      </c>
      <c r="F318" s="0" t="s">
        <v>3209</v>
      </c>
      <c r="G318" s="0" t="s">
        <v>4073</v>
      </c>
    </row>
    <row customHeight="1" ht="11.25">
      <c r="A319" s="164" t="s">
        <v>16</v>
      </c>
      <c r="B319" s="0" t="s">
        <v>4052</v>
      </c>
      <c r="C319" s="0" t="s">
        <v>4053</v>
      </c>
      <c r="D319" s="0" t="s">
        <v>4074</v>
      </c>
      <c r="E319" s="0" t="s">
        <v>4075</v>
      </c>
      <c r="F319" s="0" t="s">
        <v>3212</v>
      </c>
      <c r="G319" s="0" t="s">
        <v>4076</v>
      </c>
    </row>
    <row customHeight="1" ht="11.25">
      <c r="A320" s="164" t="s">
        <v>16</v>
      </c>
      <c r="B320" s="0" t="s">
        <v>4077</v>
      </c>
      <c r="C320" s="0" t="s">
        <v>4078</v>
      </c>
      <c r="D320" s="0" t="s">
        <v>3250</v>
      </c>
      <c r="E320" s="0" t="s">
        <v>4079</v>
      </c>
      <c r="F320" s="0" t="s">
        <v>3212</v>
      </c>
      <c r="G320" s="0" t="s">
        <v>4080</v>
      </c>
    </row>
    <row customHeight="1" ht="11.25">
      <c r="A321" s="164" t="s">
        <v>16</v>
      </c>
      <c r="B321" s="0" t="s">
        <v>4077</v>
      </c>
      <c r="C321" s="0" t="s">
        <v>4078</v>
      </c>
      <c r="D321" s="0" t="s">
        <v>4081</v>
      </c>
      <c r="E321" s="0" t="s">
        <v>4082</v>
      </c>
      <c r="F321" s="0" t="s">
        <v>3212</v>
      </c>
      <c r="G321" s="0" t="s">
        <v>4083</v>
      </c>
    </row>
    <row customHeight="1" ht="11.25">
      <c r="A322" s="164" t="s">
        <v>16</v>
      </c>
      <c r="B322" s="0" t="s">
        <v>4077</v>
      </c>
      <c r="C322" s="0" t="s">
        <v>4078</v>
      </c>
      <c r="D322" s="0" t="s">
        <v>4084</v>
      </c>
      <c r="E322" s="0" t="s">
        <v>4085</v>
      </c>
      <c r="F322" s="0" t="s">
        <v>3212</v>
      </c>
      <c r="G322" s="0" t="s">
        <v>4086</v>
      </c>
    </row>
    <row customHeight="1" ht="11.25">
      <c r="A323" s="164" t="s">
        <v>16</v>
      </c>
      <c r="B323" s="0" t="s">
        <v>4077</v>
      </c>
      <c r="C323" s="0" t="s">
        <v>4078</v>
      </c>
      <c r="D323" s="0" t="s">
        <v>4087</v>
      </c>
      <c r="E323" s="0" t="s">
        <v>4088</v>
      </c>
      <c r="F323" s="0" t="s">
        <v>3221</v>
      </c>
      <c r="G323" s="0" t="s">
        <v>4089</v>
      </c>
    </row>
    <row customHeight="1" ht="11.25">
      <c r="A324" s="164" t="s">
        <v>16</v>
      </c>
      <c r="B324" s="0" t="s">
        <v>4077</v>
      </c>
      <c r="C324" s="0" t="s">
        <v>4078</v>
      </c>
      <c r="D324" s="0" t="s">
        <v>3371</v>
      </c>
      <c r="E324" s="0" t="s">
        <v>4090</v>
      </c>
      <c r="F324" s="0" t="s">
        <v>3212</v>
      </c>
      <c r="G324" s="0" t="s">
        <v>4091</v>
      </c>
    </row>
    <row customHeight="1" ht="11.25">
      <c r="A325" s="164" t="s">
        <v>16</v>
      </c>
      <c r="B325" s="0" t="s">
        <v>4077</v>
      </c>
      <c r="C325" s="0" t="s">
        <v>4078</v>
      </c>
      <c r="D325" s="0" t="s">
        <v>4092</v>
      </c>
      <c r="E325" s="0" t="s">
        <v>4093</v>
      </c>
      <c r="F325" s="0" t="s">
        <v>3212</v>
      </c>
      <c r="G325" s="0" t="s">
        <v>4094</v>
      </c>
    </row>
    <row customHeight="1" ht="11.25">
      <c r="A326" s="164" t="s">
        <v>16</v>
      </c>
      <c r="B326" s="0" t="s">
        <v>4077</v>
      </c>
      <c r="C326" s="0" t="s">
        <v>4078</v>
      </c>
      <c r="D326" s="0" t="s">
        <v>4095</v>
      </c>
      <c r="E326" s="0" t="s">
        <v>4096</v>
      </c>
      <c r="F326" s="0" t="s">
        <v>3212</v>
      </c>
      <c r="G326" s="0" t="s">
        <v>4097</v>
      </c>
    </row>
    <row customHeight="1" ht="11.25">
      <c r="A327" s="164" t="s">
        <v>16</v>
      </c>
      <c r="B327" s="0" t="s">
        <v>4077</v>
      </c>
      <c r="C327" s="0" t="s">
        <v>4078</v>
      </c>
      <c r="D327" s="0" t="s">
        <v>4077</v>
      </c>
      <c r="E327" s="0" t="s">
        <v>4078</v>
      </c>
      <c r="F327" s="0" t="s">
        <v>3209</v>
      </c>
      <c r="G327" s="0" t="s">
        <v>4098</v>
      </c>
    </row>
    <row customHeight="1" ht="11.25">
      <c r="A328" s="164" t="s">
        <v>16</v>
      </c>
      <c r="B328" s="0" t="s">
        <v>4099</v>
      </c>
      <c r="C328" s="0" t="s">
        <v>4100</v>
      </c>
      <c r="D328" s="0" t="s">
        <v>4101</v>
      </c>
      <c r="E328" s="0" t="s">
        <v>4102</v>
      </c>
      <c r="F328" s="0" t="s">
        <v>3212</v>
      </c>
      <c r="G328" s="0" t="s">
        <v>4103</v>
      </c>
    </row>
    <row customHeight="1" ht="11.25">
      <c r="A329" s="164" t="s">
        <v>16</v>
      </c>
      <c r="B329" s="0" t="s">
        <v>4099</v>
      </c>
      <c r="C329" s="0" t="s">
        <v>4100</v>
      </c>
      <c r="D329" s="0" t="s">
        <v>4104</v>
      </c>
      <c r="E329" s="0" t="s">
        <v>4105</v>
      </c>
      <c r="F329" s="0" t="s">
        <v>3221</v>
      </c>
      <c r="G329" s="0" t="s">
        <v>4106</v>
      </c>
    </row>
    <row customHeight="1" ht="11.25">
      <c r="A330" s="164" t="s">
        <v>16</v>
      </c>
      <c r="B330" s="0" t="s">
        <v>4099</v>
      </c>
      <c r="C330" s="0" t="s">
        <v>4100</v>
      </c>
      <c r="D330" s="0" t="s">
        <v>4107</v>
      </c>
      <c r="E330" s="0" t="s">
        <v>4108</v>
      </c>
      <c r="F330" s="0" t="s">
        <v>3212</v>
      </c>
      <c r="G330" s="0" t="s">
        <v>4109</v>
      </c>
    </row>
    <row customHeight="1" ht="11.25">
      <c r="A331" s="164" t="s">
        <v>16</v>
      </c>
      <c r="B331" s="0" t="s">
        <v>4099</v>
      </c>
      <c r="C331" s="0" t="s">
        <v>4100</v>
      </c>
      <c r="D331" s="0" t="s">
        <v>4110</v>
      </c>
      <c r="E331" s="0" t="s">
        <v>4111</v>
      </c>
      <c r="F331" s="0" t="s">
        <v>3212</v>
      </c>
      <c r="G331" s="0" t="s">
        <v>4112</v>
      </c>
    </row>
    <row customHeight="1" ht="11.25">
      <c r="A332" s="164" t="s">
        <v>16</v>
      </c>
      <c r="B332" s="0" t="s">
        <v>4099</v>
      </c>
      <c r="C332" s="0" t="s">
        <v>4100</v>
      </c>
      <c r="D332" s="0" t="s">
        <v>3307</v>
      </c>
      <c r="E332" s="0" t="s">
        <v>4113</v>
      </c>
      <c r="F332" s="0" t="s">
        <v>3212</v>
      </c>
      <c r="G332" s="0" t="s">
        <v>4114</v>
      </c>
    </row>
    <row customHeight="1" ht="11.25">
      <c r="A333" s="164" t="s">
        <v>16</v>
      </c>
      <c r="B333" s="0" t="s">
        <v>4099</v>
      </c>
      <c r="C333" s="0" t="s">
        <v>4100</v>
      </c>
      <c r="D333" s="0" t="s">
        <v>4099</v>
      </c>
      <c r="E333" s="0" t="s">
        <v>4100</v>
      </c>
      <c r="F333" s="0" t="s">
        <v>3209</v>
      </c>
      <c r="G333" s="0" t="s">
        <v>4115</v>
      </c>
    </row>
    <row customHeight="1" ht="11.25">
      <c r="A334" s="164" t="s">
        <v>16</v>
      </c>
      <c r="B334" s="0" t="s">
        <v>4116</v>
      </c>
      <c r="C334" s="0" t="s">
        <v>4117</v>
      </c>
      <c r="D334" s="0" t="s">
        <v>4116</v>
      </c>
      <c r="E334" s="0" t="s">
        <v>4117</v>
      </c>
      <c r="F334" s="0" t="s">
        <v>3377</v>
      </c>
      <c r="G334" s="0" t="s">
        <v>4118</v>
      </c>
    </row>
    <row customHeight="1" ht="11.25">
      <c r="A335" s="164" t="s">
        <v>16</v>
      </c>
      <c r="B335" s="0" t="s">
        <v>4119</v>
      </c>
      <c r="C335" s="0" t="s">
        <v>4120</v>
      </c>
      <c r="D335" s="0" t="s">
        <v>4119</v>
      </c>
      <c r="E335" s="0" t="s">
        <v>4120</v>
      </c>
      <c r="F335" s="0" t="s">
        <v>3377</v>
      </c>
      <c r="G335" s="0" t="s">
        <v>4121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CB3A3-33FE-ECCB-0A58-66C6E9A58F6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348" width="13.8515625" customWidth="1"/>
    <col min="2" max="2" style="7348" width="10.421875" customWidth="1"/>
    <col min="3" max="3" style="7348" width="7.57421875" customWidth="1"/>
    <col min="4" max="4" style="7348" width="13.8515625" customWidth="1"/>
    <col min="5" max="5" style="7348" width="11.57421875" customWidth="1"/>
    <col min="6" max="6" style="7348" width="16.28125" customWidth="1"/>
    <col min="7" max="7" style="7348" width="16.00390625" customWidth="1"/>
    <col min="8" max="9" style="7348" width="16.140625" customWidth="1"/>
  </cols>
  <sheetData>
    <row customHeight="1" ht="11.25">
      <c r="A1" s="3681" t="s">
        <v>4122</v>
      </c>
      <c r="B1" s="3681" t="s">
        <v>4123</v>
      </c>
      <c r="C1" s="3681" t="s">
        <v>4124</v>
      </c>
      <c r="D1" s="3681" t="s">
        <v>4125</v>
      </c>
      <c r="E1" s="3681" t="s">
        <v>4126</v>
      </c>
      <c r="F1" s="3681" t="s">
        <v>4127</v>
      </c>
      <c r="G1" s="3681" t="s">
        <v>4128</v>
      </c>
      <c r="H1" s="3681" t="s">
        <v>4129</v>
      </c>
      <c r="I1" s="3681" t="s">
        <v>4130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4F01C-8736-062E-7F36-55A084643E4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76581-D018-5119-3B8A-4333E4A69A34}"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86" t="s">
        <v>148</v>
      </c>
      <c r="B1" s="1286" t="s">
        <v>4131</v>
      </c>
    </row>
    <row customHeight="1" ht="11.25">
      <c r="A2" s="1286" t="s">
        <v>96</v>
      </c>
      <c r="B2" s="1286" t="s">
        <v>4132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9056-09BA-6256-4A64-FA39C9120A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style="7348" width="65.28125" customWidth="1"/>
  </cols>
  <sheetData>
    <row customHeight="1" ht="11.25">
      <c r="A1" s="3681" t="s">
        <v>4133</v>
      </c>
      <c r="B1" s="3681" t="s">
        <v>4134</v>
      </c>
    </row>
    <row customHeight="1" ht="11.25">
      <c r="A2" s="3681">
        <v>4213775</v>
      </c>
      <c r="B2" s="3681" t="s">
        <v>1242</v>
      </c>
    </row>
    <row customHeight="1" ht="11.25">
      <c r="A3" s="3681">
        <v>4213784</v>
      </c>
      <c r="B3" s="3681" t="s">
        <v>1277</v>
      </c>
    </row>
    <row customHeight="1" ht="11.25">
      <c r="A4" s="3681">
        <v>4213781</v>
      </c>
      <c r="B4" s="3681" t="s">
        <v>1270</v>
      </c>
    </row>
    <row customHeight="1" ht="11.25">
      <c r="A5" s="3681">
        <v>4213776</v>
      </c>
      <c r="B5" s="3681" t="s">
        <v>183</v>
      </c>
    </row>
    <row customHeight="1" ht="11.25">
      <c r="A6" s="3681">
        <v>4213777</v>
      </c>
      <c r="B6" s="3681" t="s">
        <v>189</v>
      </c>
    </row>
    <row customHeight="1" ht="11.25">
      <c r="A7" s="3681">
        <v>4213778</v>
      </c>
      <c r="B7" s="3681" t="s">
        <v>195</v>
      </c>
    </row>
    <row customHeight="1" ht="11.25">
      <c r="A8" s="3681">
        <v>4213780</v>
      </c>
      <c r="B8" s="3681" t="s">
        <v>201</v>
      </c>
    </row>
    <row customHeight="1" ht="11.25">
      <c r="A9" s="3681">
        <v>4213779</v>
      </c>
      <c r="B9" s="3681" t="s">
        <v>1411</v>
      </c>
    </row>
    <row customHeight="1" ht="11.25">
      <c r="A10" s="3681">
        <v>4213783</v>
      </c>
      <c r="B10" s="3681" t="s">
        <v>1426</v>
      </c>
    </row>
    <row customHeight="1" ht="11.25">
      <c r="A11" s="3681">
        <v>4213782</v>
      </c>
      <c r="B11" s="3681"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1C1AB-05D3-6EA8-8411-67359128FD1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2" max="2" style="7348" width="65.28125" customWidth="1"/>
  </cols>
  <sheetData>
    <row customHeight="1" ht="11.25">
      <c r="A1" s="3681" t="s">
        <v>4133</v>
      </c>
      <c r="B1" s="3681" t="s">
        <v>4135</v>
      </c>
    </row>
    <row customHeight="1" ht="11.25">
      <c r="A2" s="3681" t="s">
        <v>117</v>
      </c>
      <c r="B2" s="3681" t="s">
        <v>1526</v>
      </c>
    </row>
    <row customHeight="1" ht="11.25">
      <c r="A3" s="3681" t="s">
        <v>4136</v>
      </c>
      <c r="B3" s="3681" t="s">
        <v>1536</v>
      </c>
    </row>
    <row customHeight="1" ht="11.25">
      <c r="A4" s="3681" t="s">
        <v>4137</v>
      </c>
      <c r="B4" s="3681" t="s">
        <v>1545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9B641-53D5-5449-47EB-F436844347FE}"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164" t="s">
        <v>3200</v>
      </c>
      <c r="B1" s="164" t="s">
        <v>3201</v>
      </c>
      <c r="C1" s="164" t="s">
        <v>3202</v>
      </c>
      <c r="D1" s="164" t="s">
        <v>3203</v>
      </c>
      <c r="E1" s="0" t="s">
        <v>3204</v>
      </c>
      <c r="F1" s="0" t="s">
        <v>3205</v>
      </c>
      <c r="G1" s="0" t="s">
        <v>3206</v>
      </c>
    </row>
    <row customHeight="1" ht="11.25">
      <c r="A2" s="0" t="s">
        <v>16</v>
      </c>
      <c r="B2" s="0" t="s">
        <v>3207</v>
      </c>
      <c r="C2" s="0" t="s">
        <v>3208</v>
      </c>
      <c r="D2" s="0" t="s">
        <v>3207</v>
      </c>
      <c r="E2" s="0" t="s">
        <v>3208</v>
      </c>
      <c r="F2" s="0" t="s">
        <v>3209</v>
      </c>
      <c r="G2" s="0" t="s">
        <v>107</v>
      </c>
    </row>
    <row customHeight="1" ht="11.25">
      <c r="A3" s="0" t="s">
        <v>16</v>
      </c>
      <c r="B3" s="0" t="s">
        <v>3207</v>
      </c>
      <c r="C3" s="0" t="s">
        <v>3208</v>
      </c>
      <c r="D3" s="0" t="s">
        <v>3210</v>
      </c>
      <c r="E3" s="0" t="s">
        <v>3211</v>
      </c>
      <c r="F3" s="0" t="s">
        <v>3212</v>
      </c>
      <c r="G3" s="0" t="s">
        <v>108</v>
      </c>
    </row>
    <row customHeight="1" ht="11.25">
      <c r="A4" s="0" t="s">
        <v>16</v>
      </c>
      <c r="B4" s="0" t="s">
        <v>3207</v>
      </c>
      <c r="C4" s="0" t="s">
        <v>3208</v>
      </c>
      <c r="D4" s="0" t="s">
        <v>3213</v>
      </c>
      <c r="E4" s="0" t="s">
        <v>3214</v>
      </c>
      <c r="F4" s="0" t="s">
        <v>3212</v>
      </c>
      <c r="G4" s="0" t="s">
        <v>88</v>
      </c>
    </row>
    <row customHeight="1" ht="11.25">
      <c r="A5" s="0" t="s">
        <v>16</v>
      </c>
      <c r="B5" s="0" t="s">
        <v>3215</v>
      </c>
      <c r="C5" s="0" t="s">
        <v>3216</v>
      </c>
      <c r="D5" s="0" t="s">
        <v>3215</v>
      </c>
      <c r="E5" s="0" t="s">
        <v>3216</v>
      </c>
      <c r="F5" s="0" t="s">
        <v>3209</v>
      </c>
      <c r="G5" s="0" t="s">
        <v>89</v>
      </c>
    </row>
    <row customHeight="1" ht="11.25">
      <c r="A6" s="0" t="s">
        <v>16</v>
      </c>
      <c r="B6" s="0" t="s">
        <v>3215</v>
      </c>
      <c r="C6" s="0" t="s">
        <v>3216</v>
      </c>
      <c r="D6" s="0" t="s">
        <v>3217</v>
      </c>
      <c r="E6" s="0" t="s">
        <v>3218</v>
      </c>
      <c r="F6" s="0" t="s">
        <v>3212</v>
      </c>
      <c r="G6" s="0" t="s">
        <v>109</v>
      </c>
    </row>
    <row customHeight="1" ht="11.25">
      <c r="A7" s="0" t="s">
        <v>16</v>
      </c>
      <c r="B7" s="0" t="s">
        <v>3215</v>
      </c>
      <c r="C7" s="0" t="s">
        <v>3216</v>
      </c>
      <c r="D7" s="0" t="s">
        <v>3219</v>
      </c>
      <c r="E7" s="0" t="s">
        <v>3220</v>
      </c>
      <c r="F7" s="0" t="s">
        <v>3221</v>
      </c>
      <c r="G7" s="0" t="s">
        <v>90</v>
      </c>
    </row>
    <row customHeight="1" ht="11.25">
      <c r="A8" s="0" t="s">
        <v>16</v>
      </c>
      <c r="B8" s="0" t="s">
        <v>3215</v>
      </c>
      <c r="C8" s="0" t="s">
        <v>3216</v>
      </c>
      <c r="D8" s="0" t="s">
        <v>3222</v>
      </c>
      <c r="E8" s="0" t="s">
        <v>3223</v>
      </c>
      <c r="F8" s="0" t="s">
        <v>3212</v>
      </c>
      <c r="G8" s="0" t="s">
        <v>91</v>
      </c>
    </row>
    <row customHeight="1" ht="11.25">
      <c r="A9" s="0" t="s">
        <v>16</v>
      </c>
      <c r="B9" s="0" t="s">
        <v>3215</v>
      </c>
      <c r="C9" s="0" t="s">
        <v>3216</v>
      </c>
      <c r="D9" s="0" t="s">
        <v>3224</v>
      </c>
      <c r="E9" s="0" t="s">
        <v>3225</v>
      </c>
      <c r="F9" s="0" t="s">
        <v>3212</v>
      </c>
      <c r="G9" s="0" t="s">
        <v>110</v>
      </c>
    </row>
    <row customHeight="1" ht="11.25">
      <c r="A10" s="0" t="s">
        <v>16</v>
      </c>
      <c r="B10" s="0" t="s">
        <v>3215</v>
      </c>
      <c r="C10" s="0" t="s">
        <v>3216</v>
      </c>
      <c r="D10" s="0" t="s">
        <v>3226</v>
      </c>
      <c r="E10" s="0" t="s">
        <v>3227</v>
      </c>
      <c r="F10" s="0" t="s">
        <v>3212</v>
      </c>
      <c r="G10" s="0" t="s">
        <v>134</v>
      </c>
    </row>
    <row customHeight="1" ht="11.25">
      <c r="A11" s="0" t="s">
        <v>16</v>
      </c>
      <c r="B11" s="0" t="s">
        <v>3215</v>
      </c>
      <c r="C11" s="0" t="s">
        <v>3216</v>
      </c>
      <c r="D11" s="0" t="s">
        <v>3228</v>
      </c>
      <c r="E11" s="0" t="s">
        <v>3229</v>
      </c>
      <c r="F11" s="0" t="s">
        <v>3212</v>
      </c>
      <c r="G11" s="0" t="s">
        <v>166</v>
      </c>
    </row>
    <row customHeight="1" ht="11.25">
      <c r="A12" s="0" t="s">
        <v>16</v>
      </c>
      <c r="B12" s="0" t="s">
        <v>3215</v>
      </c>
      <c r="C12" s="0" t="s">
        <v>3216</v>
      </c>
      <c r="D12" s="0" t="s">
        <v>3230</v>
      </c>
      <c r="E12" s="0" t="s">
        <v>3231</v>
      </c>
      <c r="F12" s="0" t="s">
        <v>3212</v>
      </c>
      <c r="G12" s="0" t="s">
        <v>167</v>
      </c>
    </row>
    <row customHeight="1" ht="11.25">
      <c r="A13" s="0" t="s">
        <v>16</v>
      </c>
      <c r="B13" s="0" t="s">
        <v>3232</v>
      </c>
      <c r="C13" s="0" t="s">
        <v>3233</v>
      </c>
      <c r="D13" s="0" t="s">
        <v>3232</v>
      </c>
      <c r="E13" s="0" t="s">
        <v>3233</v>
      </c>
      <c r="F13" s="0" t="s">
        <v>3209</v>
      </c>
      <c r="G13" s="0" t="s">
        <v>168</v>
      </c>
    </row>
    <row customHeight="1" ht="11.25">
      <c r="A14" s="0" t="s">
        <v>16</v>
      </c>
      <c r="B14" s="0" t="s">
        <v>3232</v>
      </c>
      <c r="C14" s="0" t="s">
        <v>3233</v>
      </c>
      <c r="D14" s="0" t="s">
        <v>3234</v>
      </c>
      <c r="E14" s="0" t="s">
        <v>3235</v>
      </c>
      <c r="F14" s="0" t="s">
        <v>3221</v>
      </c>
      <c r="G14" s="0" t="s">
        <v>169</v>
      </c>
    </row>
    <row customHeight="1" ht="11.25">
      <c r="A15" s="0" t="s">
        <v>16</v>
      </c>
      <c r="B15" s="0" t="s">
        <v>3232</v>
      </c>
      <c r="C15" s="0" t="s">
        <v>3233</v>
      </c>
      <c r="D15" s="0" t="s">
        <v>3236</v>
      </c>
      <c r="E15" s="0" t="s">
        <v>3237</v>
      </c>
      <c r="F15" s="0" t="s">
        <v>3212</v>
      </c>
      <c r="G15" s="0" t="s">
        <v>170</v>
      </c>
    </row>
    <row customHeight="1" ht="11.25">
      <c r="A16" s="0" t="s">
        <v>16</v>
      </c>
      <c r="B16" s="0" t="s">
        <v>3232</v>
      </c>
      <c r="C16" s="0" t="s">
        <v>3233</v>
      </c>
      <c r="D16" s="0" t="s">
        <v>3238</v>
      </c>
      <c r="E16" s="0" t="s">
        <v>3239</v>
      </c>
      <c r="F16" s="0" t="s">
        <v>3212</v>
      </c>
      <c r="G16" s="0" t="s">
        <v>1486</v>
      </c>
    </row>
    <row customHeight="1" ht="11.25">
      <c r="A17" s="0" t="s">
        <v>16</v>
      </c>
      <c r="B17" s="0" t="s">
        <v>3232</v>
      </c>
      <c r="C17" s="0" t="s">
        <v>3233</v>
      </c>
      <c r="D17" s="0" t="s">
        <v>3240</v>
      </c>
      <c r="E17" s="0" t="s">
        <v>3241</v>
      </c>
      <c r="F17" s="0" t="s">
        <v>3212</v>
      </c>
      <c r="G17" s="0" t="s">
        <v>1492</v>
      </c>
    </row>
    <row customHeight="1" ht="11.25">
      <c r="A18" s="0" t="s">
        <v>16</v>
      </c>
      <c r="B18" s="0" t="s">
        <v>3232</v>
      </c>
      <c r="C18" s="0" t="s">
        <v>3233</v>
      </c>
      <c r="D18" s="0" t="s">
        <v>3242</v>
      </c>
      <c r="E18" s="0" t="s">
        <v>3243</v>
      </c>
      <c r="F18" s="0" t="s">
        <v>3212</v>
      </c>
      <c r="G18" s="0" t="s">
        <v>1504</v>
      </c>
    </row>
    <row customHeight="1" ht="11.25">
      <c r="A19" s="0" t="s">
        <v>16</v>
      </c>
      <c r="B19" s="0" t="s">
        <v>3232</v>
      </c>
      <c r="C19" s="0" t="s">
        <v>3233</v>
      </c>
      <c r="D19" s="0" t="s">
        <v>3244</v>
      </c>
      <c r="E19" s="0" t="s">
        <v>3245</v>
      </c>
      <c r="F19" s="0" t="s">
        <v>3212</v>
      </c>
      <c r="G19" s="0" t="s">
        <v>1518</v>
      </c>
    </row>
    <row customHeight="1" ht="11.25">
      <c r="A20" s="0" t="s">
        <v>16</v>
      </c>
      <c r="B20" s="0" t="s">
        <v>3232</v>
      </c>
      <c r="C20" s="0" t="s">
        <v>3233</v>
      </c>
      <c r="D20" s="0" t="s">
        <v>3246</v>
      </c>
      <c r="E20" s="0" t="s">
        <v>3247</v>
      </c>
      <c r="F20" s="0" t="s">
        <v>3212</v>
      </c>
      <c r="G20" s="0" t="s">
        <v>1530</v>
      </c>
    </row>
    <row customHeight="1" ht="11.25">
      <c r="A21" s="0" t="s">
        <v>16</v>
      </c>
      <c r="B21" s="0" t="s">
        <v>3248</v>
      </c>
      <c r="C21" s="0" t="s">
        <v>3249</v>
      </c>
      <c r="D21" s="0" t="s">
        <v>3250</v>
      </c>
      <c r="E21" s="0" t="s">
        <v>3251</v>
      </c>
      <c r="F21" s="0" t="s">
        <v>3212</v>
      </c>
      <c r="G21" s="0" t="s">
        <v>1539</v>
      </c>
    </row>
    <row customHeight="1" ht="11.25">
      <c r="A22" s="0" t="s">
        <v>16</v>
      </c>
      <c r="B22" s="0" t="s">
        <v>3248</v>
      </c>
      <c r="C22" s="0" t="s">
        <v>3249</v>
      </c>
      <c r="D22" s="0" t="s">
        <v>3248</v>
      </c>
      <c r="E22" s="0" t="s">
        <v>3249</v>
      </c>
      <c r="F22" s="0" t="s">
        <v>3209</v>
      </c>
      <c r="G22" s="0" t="s">
        <v>1555</v>
      </c>
    </row>
    <row customHeight="1" ht="11.25">
      <c r="A23" s="0" t="s">
        <v>16</v>
      </c>
      <c r="B23" s="0" t="s">
        <v>3248</v>
      </c>
      <c r="C23" s="0" t="s">
        <v>3249</v>
      </c>
      <c r="D23" s="0" t="s">
        <v>3252</v>
      </c>
      <c r="E23" s="0" t="s">
        <v>3253</v>
      </c>
      <c r="F23" s="0" t="s">
        <v>3254</v>
      </c>
      <c r="G23" s="0" t="s">
        <v>1562</v>
      </c>
    </row>
    <row customHeight="1" ht="11.25">
      <c r="A24" s="0" t="s">
        <v>16</v>
      </c>
      <c r="B24" s="0" t="s">
        <v>3248</v>
      </c>
      <c r="C24" s="0" t="s">
        <v>3249</v>
      </c>
      <c r="D24" s="0" t="s">
        <v>3255</v>
      </c>
      <c r="E24" s="0" t="s">
        <v>3256</v>
      </c>
      <c r="F24" s="0" t="s">
        <v>3212</v>
      </c>
      <c r="G24" s="0" t="s">
        <v>1570</v>
      </c>
    </row>
    <row customHeight="1" ht="11.25">
      <c r="A25" s="0" t="s">
        <v>16</v>
      </c>
      <c r="B25" s="0" t="s">
        <v>3248</v>
      </c>
      <c r="C25" s="0" t="s">
        <v>3249</v>
      </c>
      <c r="D25" s="0" t="s">
        <v>3257</v>
      </c>
      <c r="E25" s="0" t="s">
        <v>3258</v>
      </c>
      <c r="F25" s="0" t="s">
        <v>3212</v>
      </c>
      <c r="G25" s="0" t="s">
        <v>1577</v>
      </c>
    </row>
    <row customHeight="1" ht="11.25">
      <c r="A26" s="0" t="s">
        <v>16</v>
      </c>
      <c r="B26" s="0" t="s">
        <v>3248</v>
      </c>
      <c r="C26" s="0" t="s">
        <v>3249</v>
      </c>
      <c r="D26" s="0" t="s">
        <v>3259</v>
      </c>
      <c r="E26" s="0" t="s">
        <v>3260</v>
      </c>
      <c r="F26" s="0" t="s">
        <v>3212</v>
      </c>
      <c r="G26" s="0" t="s">
        <v>1581</v>
      </c>
    </row>
    <row customHeight="1" ht="11.25">
      <c r="A27" s="0" t="s">
        <v>16</v>
      </c>
      <c r="B27" s="0" t="s">
        <v>3248</v>
      </c>
      <c r="C27" s="0" t="s">
        <v>3249</v>
      </c>
      <c r="D27" s="0" t="s">
        <v>3261</v>
      </c>
      <c r="E27" s="0" t="s">
        <v>3262</v>
      </c>
      <c r="F27" s="0" t="s">
        <v>3254</v>
      </c>
      <c r="G27" s="0" t="s">
        <v>1586</v>
      </c>
    </row>
    <row customHeight="1" ht="11.25">
      <c r="A28" s="0" t="s">
        <v>16</v>
      </c>
      <c r="B28" s="0" t="s">
        <v>3248</v>
      </c>
      <c r="C28" s="0" t="s">
        <v>3249</v>
      </c>
      <c r="D28" s="0" t="s">
        <v>3263</v>
      </c>
      <c r="E28" s="0" t="s">
        <v>3264</v>
      </c>
      <c r="F28" s="0" t="s">
        <v>3212</v>
      </c>
      <c r="G28" s="0" t="s">
        <v>1594</v>
      </c>
    </row>
    <row customHeight="1" ht="11.25">
      <c r="A29" s="0" t="s">
        <v>16</v>
      </c>
      <c r="B29" s="0" t="s">
        <v>3248</v>
      </c>
      <c r="C29" s="0" t="s">
        <v>3249</v>
      </c>
      <c r="D29" s="0" t="s">
        <v>3265</v>
      </c>
      <c r="E29" s="0" t="s">
        <v>3266</v>
      </c>
      <c r="F29" s="0" t="s">
        <v>3212</v>
      </c>
      <c r="G29" s="0" t="s">
        <v>1596</v>
      </c>
    </row>
    <row customHeight="1" ht="11.25">
      <c r="A30" s="0" t="s">
        <v>16</v>
      </c>
      <c r="B30" s="0" t="s">
        <v>3248</v>
      </c>
      <c r="C30" s="0" t="s">
        <v>3249</v>
      </c>
      <c r="D30" s="0" t="s">
        <v>3267</v>
      </c>
      <c r="E30" s="0" t="s">
        <v>3268</v>
      </c>
      <c r="F30" s="0" t="s">
        <v>3212</v>
      </c>
      <c r="G30" s="0" t="s">
        <v>1599</v>
      </c>
    </row>
    <row customHeight="1" ht="11.25">
      <c r="A31" s="0" t="s">
        <v>16</v>
      </c>
      <c r="B31" s="0" t="s">
        <v>3248</v>
      </c>
      <c r="C31" s="0" t="s">
        <v>3249</v>
      </c>
      <c r="D31" s="0" t="s">
        <v>3269</v>
      </c>
      <c r="E31" s="0" t="s">
        <v>3270</v>
      </c>
      <c r="F31" s="0" t="s">
        <v>3212</v>
      </c>
      <c r="G31" s="0" t="s">
        <v>1605</v>
      </c>
    </row>
    <row customHeight="1" ht="11.25">
      <c r="A32" s="0" t="s">
        <v>16</v>
      </c>
      <c r="B32" s="0" t="s">
        <v>3271</v>
      </c>
      <c r="C32" s="0" t="s">
        <v>3272</v>
      </c>
      <c r="D32" s="0" t="s">
        <v>3271</v>
      </c>
      <c r="E32" s="0" t="s">
        <v>3272</v>
      </c>
      <c r="F32" s="0" t="s">
        <v>3209</v>
      </c>
      <c r="G32" s="0" t="s">
        <v>1607</v>
      </c>
    </row>
    <row customHeight="1" ht="11.25">
      <c r="A33" s="0" t="s">
        <v>16</v>
      </c>
      <c r="B33" s="0" t="s">
        <v>3271</v>
      </c>
      <c r="C33" s="0" t="s">
        <v>3272</v>
      </c>
      <c r="D33" s="0" t="s">
        <v>3273</v>
      </c>
      <c r="E33" s="0" t="s">
        <v>3274</v>
      </c>
      <c r="F33" s="0" t="s">
        <v>3212</v>
      </c>
      <c r="G33" s="0" t="s">
        <v>1609</v>
      </c>
    </row>
    <row customHeight="1" ht="11.25">
      <c r="A34" s="0" t="s">
        <v>16</v>
      </c>
      <c r="B34" s="0" t="s">
        <v>3271</v>
      </c>
      <c r="C34" s="0" t="s">
        <v>3272</v>
      </c>
      <c r="D34" s="0" t="s">
        <v>3275</v>
      </c>
      <c r="E34" s="0" t="s">
        <v>3276</v>
      </c>
      <c r="F34" s="0" t="s">
        <v>3221</v>
      </c>
      <c r="G34" s="0" t="s">
        <v>1611</v>
      </c>
    </row>
    <row customHeight="1" ht="11.25">
      <c r="A35" s="0" t="s">
        <v>16</v>
      </c>
      <c r="B35" s="0" t="s">
        <v>3271</v>
      </c>
      <c r="C35" s="0" t="s">
        <v>3272</v>
      </c>
      <c r="D35" s="0" t="s">
        <v>3277</v>
      </c>
      <c r="E35" s="0" t="s">
        <v>3278</v>
      </c>
      <c r="F35" s="0" t="s">
        <v>3212</v>
      </c>
      <c r="G35" s="0" t="s">
        <v>1616</v>
      </c>
    </row>
    <row customHeight="1" ht="11.25">
      <c r="A36" s="0" t="s">
        <v>16</v>
      </c>
      <c r="B36" s="0" t="s">
        <v>3279</v>
      </c>
      <c r="C36" s="0" t="s">
        <v>3280</v>
      </c>
      <c r="D36" s="0" t="s">
        <v>3279</v>
      </c>
      <c r="E36" s="0" t="s">
        <v>3280</v>
      </c>
      <c r="F36" s="0" t="s">
        <v>3209</v>
      </c>
      <c r="G36" s="0" t="s">
        <v>1621</v>
      </c>
    </row>
    <row customHeight="1" ht="11.25">
      <c r="A37" s="0" t="s">
        <v>16</v>
      </c>
      <c r="B37" s="0" t="s">
        <v>3279</v>
      </c>
      <c r="C37" s="0" t="s">
        <v>3280</v>
      </c>
      <c r="D37" s="0" t="s">
        <v>3281</v>
      </c>
      <c r="E37" s="0" t="s">
        <v>3282</v>
      </c>
      <c r="F37" s="0" t="s">
        <v>3221</v>
      </c>
      <c r="G37" s="0" t="s">
        <v>1625</v>
      </c>
    </row>
    <row customHeight="1" ht="11.25">
      <c r="A38" s="0" t="s">
        <v>16</v>
      </c>
      <c r="B38" s="0" t="s">
        <v>3279</v>
      </c>
      <c r="C38" s="0" t="s">
        <v>3280</v>
      </c>
      <c r="D38" s="0" t="s">
        <v>3283</v>
      </c>
      <c r="E38" s="0" t="s">
        <v>3284</v>
      </c>
      <c r="F38" s="0" t="s">
        <v>3212</v>
      </c>
      <c r="G38" s="0" t="s">
        <v>1633</v>
      </c>
    </row>
    <row customHeight="1" ht="11.25">
      <c r="A39" s="0" t="s">
        <v>16</v>
      </c>
      <c r="B39" s="0" t="s">
        <v>3279</v>
      </c>
      <c r="C39" s="0" t="s">
        <v>3280</v>
      </c>
      <c r="D39" s="0" t="s">
        <v>3285</v>
      </c>
      <c r="E39" s="0" t="s">
        <v>3286</v>
      </c>
      <c r="F39" s="0" t="s">
        <v>3212</v>
      </c>
      <c r="G39" s="0" t="s">
        <v>1639</v>
      </c>
    </row>
    <row customHeight="1" ht="11.25">
      <c r="A40" s="0" t="s">
        <v>16</v>
      </c>
      <c r="B40" s="0" t="s">
        <v>3279</v>
      </c>
      <c r="C40" s="0" t="s">
        <v>3280</v>
      </c>
      <c r="D40" s="0" t="s">
        <v>3287</v>
      </c>
      <c r="E40" s="0" t="s">
        <v>3288</v>
      </c>
      <c r="F40" s="0" t="s">
        <v>3212</v>
      </c>
      <c r="G40" s="0" t="s">
        <v>1644</v>
      </c>
    </row>
    <row customHeight="1" ht="11.25">
      <c r="A41" s="0" t="s">
        <v>16</v>
      </c>
      <c r="B41" s="0" t="s">
        <v>3279</v>
      </c>
      <c r="C41" s="0" t="s">
        <v>3280</v>
      </c>
      <c r="D41" s="0" t="s">
        <v>3289</v>
      </c>
      <c r="E41" s="0" t="s">
        <v>3290</v>
      </c>
      <c r="F41" s="0" t="s">
        <v>3212</v>
      </c>
      <c r="G41" s="0" t="s">
        <v>1648</v>
      </c>
    </row>
    <row customHeight="1" ht="11.25">
      <c r="A42" s="0" t="s">
        <v>16</v>
      </c>
      <c r="B42" s="0" t="s">
        <v>3279</v>
      </c>
      <c r="C42" s="0" t="s">
        <v>3280</v>
      </c>
      <c r="D42" s="0" t="s">
        <v>3291</v>
      </c>
      <c r="E42" s="0" t="s">
        <v>3292</v>
      </c>
      <c r="F42" s="0" t="s">
        <v>3212</v>
      </c>
      <c r="G42" s="0" t="s">
        <v>1651</v>
      </c>
    </row>
    <row customHeight="1" ht="11.25">
      <c r="A43" s="0" t="s">
        <v>16</v>
      </c>
      <c r="B43" s="0" t="s">
        <v>3279</v>
      </c>
      <c r="C43" s="0" t="s">
        <v>3280</v>
      </c>
      <c r="D43" s="0" t="s">
        <v>3293</v>
      </c>
      <c r="E43" s="0" t="s">
        <v>3294</v>
      </c>
      <c r="F43" s="0" t="s">
        <v>3212</v>
      </c>
      <c r="G43" s="0" t="s">
        <v>1658</v>
      </c>
    </row>
    <row customHeight="1" ht="11.25">
      <c r="A44" s="0" t="s">
        <v>16</v>
      </c>
      <c r="B44" s="0" t="s">
        <v>3279</v>
      </c>
      <c r="C44" s="0" t="s">
        <v>3280</v>
      </c>
      <c r="D44" s="0" t="s">
        <v>3295</v>
      </c>
      <c r="E44" s="0" t="s">
        <v>3296</v>
      </c>
      <c r="F44" s="0" t="s">
        <v>3212</v>
      </c>
      <c r="G44" s="0" t="s">
        <v>1667</v>
      </c>
    </row>
    <row customHeight="1" ht="11.25">
      <c r="A45" s="0" t="s">
        <v>16</v>
      </c>
      <c r="B45" s="0" t="s">
        <v>3279</v>
      </c>
      <c r="C45" s="0" t="s">
        <v>3280</v>
      </c>
      <c r="D45" s="0" t="s">
        <v>3297</v>
      </c>
      <c r="E45" s="0" t="s">
        <v>3298</v>
      </c>
      <c r="F45" s="0" t="s">
        <v>3254</v>
      </c>
      <c r="G45" s="0" t="s">
        <v>1672</v>
      </c>
    </row>
    <row customHeight="1" ht="11.25">
      <c r="A46" s="0" t="s">
        <v>16</v>
      </c>
      <c r="B46" s="0" t="s">
        <v>3279</v>
      </c>
      <c r="C46" s="0" t="s">
        <v>3280</v>
      </c>
      <c r="D46" s="0" t="s">
        <v>3299</v>
      </c>
      <c r="E46" s="0" t="s">
        <v>3300</v>
      </c>
      <c r="F46" s="0" t="s">
        <v>3212</v>
      </c>
      <c r="G46" s="0" t="s">
        <v>1676</v>
      </c>
    </row>
    <row customHeight="1" ht="11.25">
      <c r="A47" s="0" t="s">
        <v>16</v>
      </c>
      <c r="B47" s="0" t="s">
        <v>3279</v>
      </c>
      <c r="C47" s="0" t="s">
        <v>3280</v>
      </c>
      <c r="D47" s="0" t="s">
        <v>3301</v>
      </c>
      <c r="E47" s="0" t="s">
        <v>3302</v>
      </c>
      <c r="F47" s="0" t="s">
        <v>3212</v>
      </c>
      <c r="G47" s="0" t="s">
        <v>1681</v>
      </c>
    </row>
    <row customHeight="1" ht="11.25">
      <c r="A48" s="0" t="s">
        <v>16</v>
      </c>
      <c r="B48" s="0" t="s">
        <v>3279</v>
      </c>
      <c r="C48" s="0" t="s">
        <v>3280</v>
      </c>
      <c r="D48" s="0" t="s">
        <v>3303</v>
      </c>
      <c r="E48" s="0" t="s">
        <v>3304</v>
      </c>
      <c r="F48" s="0" t="s">
        <v>3212</v>
      </c>
      <c r="G48" s="0" t="s">
        <v>1686</v>
      </c>
    </row>
    <row customHeight="1" ht="11.25">
      <c r="A49" s="0" t="s">
        <v>16</v>
      </c>
      <c r="B49" s="0" t="s">
        <v>3279</v>
      </c>
      <c r="C49" s="0" t="s">
        <v>3280</v>
      </c>
      <c r="D49" s="0" t="s">
        <v>3305</v>
      </c>
      <c r="E49" s="0" t="s">
        <v>3306</v>
      </c>
      <c r="F49" s="0" t="s">
        <v>3212</v>
      </c>
      <c r="G49" s="0" t="s">
        <v>1689</v>
      </c>
    </row>
    <row customHeight="1" ht="11.25">
      <c r="A50" s="0" t="s">
        <v>16</v>
      </c>
      <c r="B50" s="0" t="s">
        <v>3279</v>
      </c>
      <c r="C50" s="0" t="s">
        <v>3280</v>
      </c>
      <c r="D50" s="0" t="s">
        <v>3307</v>
      </c>
      <c r="E50" s="0" t="s">
        <v>3308</v>
      </c>
      <c r="F50" s="0" t="s">
        <v>3212</v>
      </c>
      <c r="G50" s="0" t="s">
        <v>1693</v>
      </c>
    </row>
    <row customHeight="1" ht="11.25">
      <c r="A51" s="0" t="s">
        <v>16</v>
      </c>
      <c r="B51" s="0" t="s">
        <v>3279</v>
      </c>
      <c r="C51" s="0" t="s">
        <v>3280</v>
      </c>
      <c r="D51" s="0" t="s">
        <v>3309</v>
      </c>
      <c r="E51" s="0" t="s">
        <v>3310</v>
      </c>
      <c r="F51" s="0" t="s">
        <v>3212</v>
      </c>
      <c r="G51" s="0" t="s">
        <v>1698</v>
      </c>
    </row>
    <row customHeight="1" ht="11.25">
      <c r="A52" s="0" t="s">
        <v>16</v>
      </c>
      <c r="B52" s="0" t="s">
        <v>3279</v>
      </c>
      <c r="C52" s="0" t="s">
        <v>3280</v>
      </c>
      <c r="D52" s="0" t="s">
        <v>3311</v>
      </c>
      <c r="E52" s="0" t="s">
        <v>3312</v>
      </c>
      <c r="F52" s="0" t="s">
        <v>3212</v>
      </c>
      <c r="G52" s="0" t="s">
        <v>1702</v>
      </c>
    </row>
    <row customHeight="1" ht="11.25">
      <c r="A53" s="0" t="s">
        <v>16</v>
      </c>
      <c r="B53" s="0" t="s">
        <v>3313</v>
      </c>
      <c r="C53" s="0" t="s">
        <v>3314</v>
      </c>
      <c r="D53" s="0" t="s">
        <v>3313</v>
      </c>
      <c r="E53" s="0" t="s">
        <v>3314</v>
      </c>
      <c r="F53" s="0" t="s">
        <v>3209</v>
      </c>
      <c r="G53" s="0" t="s">
        <v>1704</v>
      </c>
    </row>
    <row customHeight="1" ht="11.25">
      <c r="A54" s="0" t="s">
        <v>16</v>
      </c>
      <c r="B54" s="0" t="s">
        <v>3313</v>
      </c>
      <c r="C54" s="0" t="s">
        <v>3314</v>
      </c>
      <c r="D54" s="0" t="s">
        <v>3315</v>
      </c>
      <c r="E54" s="0" t="s">
        <v>3316</v>
      </c>
      <c r="F54" s="0" t="s">
        <v>3212</v>
      </c>
      <c r="G54" s="0" t="s">
        <v>1707</v>
      </c>
    </row>
    <row customHeight="1" ht="11.25">
      <c r="A55" s="0" t="s">
        <v>16</v>
      </c>
      <c r="B55" s="0" t="s">
        <v>3313</v>
      </c>
      <c r="C55" s="0" t="s">
        <v>3314</v>
      </c>
      <c r="D55" s="0" t="s">
        <v>3317</v>
      </c>
      <c r="E55" s="0" t="s">
        <v>3318</v>
      </c>
      <c r="F55" s="0" t="s">
        <v>3212</v>
      </c>
      <c r="G55" s="0" t="s">
        <v>1711</v>
      </c>
    </row>
    <row customHeight="1" ht="11.25">
      <c r="A56" s="0" t="s">
        <v>16</v>
      </c>
      <c r="B56" s="0" t="s">
        <v>3313</v>
      </c>
      <c r="C56" s="0" t="s">
        <v>3314</v>
      </c>
      <c r="D56" s="0" t="s">
        <v>3319</v>
      </c>
      <c r="E56" s="0" t="s">
        <v>3320</v>
      </c>
      <c r="F56" s="0" t="s">
        <v>3212</v>
      </c>
      <c r="G56" s="0" t="s">
        <v>1715</v>
      </c>
    </row>
    <row customHeight="1" ht="11.25">
      <c r="A57" s="0" t="s">
        <v>16</v>
      </c>
      <c r="B57" s="0" t="s">
        <v>3313</v>
      </c>
      <c r="C57" s="0" t="s">
        <v>3314</v>
      </c>
      <c r="D57" s="0" t="s">
        <v>3321</v>
      </c>
      <c r="E57" s="0" t="s">
        <v>3322</v>
      </c>
      <c r="F57" s="0" t="s">
        <v>3212</v>
      </c>
      <c r="G57" s="0" t="s">
        <v>1718</v>
      </c>
    </row>
    <row customHeight="1" ht="11.25">
      <c r="A58" s="0" t="s">
        <v>16</v>
      </c>
      <c r="B58" s="0" t="s">
        <v>3323</v>
      </c>
      <c r="C58" s="0" t="s">
        <v>3324</v>
      </c>
      <c r="D58" s="0" t="s">
        <v>3236</v>
      </c>
      <c r="E58" s="0" t="s">
        <v>3325</v>
      </c>
      <c r="F58" s="0" t="s">
        <v>3212</v>
      </c>
      <c r="G58" s="0" t="s">
        <v>1721</v>
      </c>
    </row>
    <row customHeight="1" ht="11.25">
      <c r="A59" s="0" t="s">
        <v>16</v>
      </c>
      <c r="B59" s="0" t="s">
        <v>3323</v>
      </c>
      <c r="C59" s="0" t="s">
        <v>3324</v>
      </c>
      <c r="D59" s="0" t="s">
        <v>3326</v>
      </c>
      <c r="E59" s="0" t="s">
        <v>3327</v>
      </c>
      <c r="F59" s="0" t="s">
        <v>3212</v>
      </c>
      <c r="G59" s="0" t="s">
        <v>1725</v>
      </c>
    </row>
    <row customHeight="1" ht="11.25">
      <c r="A60" s="0" t="s">
        <v>16</v>
      </c>
      <c r="B60" s="0" t="s">
        <v>3323</v>
      </c>
      <c r="C60" s="0" t="s">
        <v>3324</v>
      </c>
      <c r="D60" s="0" t="s">
        <v>3328</v>
      </c>
      <c r="E60" s="0" t="s">
        <v>3329</v>
      </c>
      <c r="F60" s="0" t="s">
        <v>3212</v>
      </c>
      <c r="G60" s="0" t="s">
        <v>1728</v>
      </c>
    </row>
    <row customHeight="1" ht="11.25">
      <c r="A61" s="0" t="s">
        <v>16</v>
      </c>
      <c r="B61" s="0" t="s">
        <v>3323</v>
      </c>
      <c r="C61" s="0" t="s">
        <v>3324</v>
      </c>
      <c r="D61" s="0" t="s">
        <v>3323</v>
      </c>
      <c r="E61" s="0" t="s">
        <v>3324</v>
      </c>
      <c r="F61" s="0" t="s">
        <v>3209</v>
      </c>
      <c r="G61" s="0" t="s">
        <v>3330</v>
      </c>
    </row>
    <row customHeight="1" ht="11.25">
      <c r="A62" s="0" t="s">
        <v>16</v>
      </c>
      <c r="B62" s="0" t="s">
        <v>3323</v>
      </c>
      <c r="C62" s="0" t="s">
        <v>3324</v>
      </c>
      <c r="D62" s="0" t="s">
        <v>3331</v>
      </c>
      <c r="E62" s="0" t="s">
        <v>3332</v>
      </c>
      <c r="F62" s="0" t="s">
        <v>3221</v>
      </c>
      <c r="G62" s="0" t="s">
        <v>3333</v>
      </c>
    </row>
    <row customHeight="1" ht="11.25">
      <c r="A63" s="0" t="s">
        <v>16</v>
      </c>
      <c r="B63" s="0" t="s">
        <v>3323</v>
      </c>
      <c r="C63" s="0" t="s">
        <v>3324</v>
      </c>
      <c r="D63" s="0" t="s">
        <v>3334</v>
      </c>
      <c r="E63" s="0" t="s">
        <v>3335</v>
      </c>
      <c r="F63" s="0" t="s">
        <v>3212</v>
      </c>
      <c r="G63" s="0" t="s">
        <v>3336</v>
      </c>
    </row>
    <row customHeight="1" ht="11.25">
      <c r="A64" s="0" t="s">
        <v>16</v>
      </c>
      <c r="B64" s="0" t="s">
        <v>3323</v>
      </c>
      <c r="C64" s="0" t="s">
        <v>3324</v>
      </c>
      <c r="D64" s="0" t="s">
        <v>3337</v>
      </c>
      <c r="E64" s="0" t="s">
        <v>3338</v>
      </c>
      <c r="F64" s="0" t="s">
        <v>3212</v>
      </c>
      <c r="G64" s="0" t="s">
        <v>3339</v>
      </c>
    </row>
    <row customHeight="1" ht="11.25">
      <c r="A65" s="0" t="s">
        <v>16</v>
      </c>
      <c r="B65" s="0" t="s">
        <v>3323</v>
      </c>
      <c r="C65" s="0" t="s">
        <v>3324</v>
      </c>
      <c r="D65" s="0" t="s">
        <v>3340</v>
      </c>
      <c r="E65" s="0" t="s">
        <v>3341</v>
      </c>
      <c r="F65" s="0" t="s">
        <v>3212</v>
      </c>
      <c r="G65" s="0" t="s">
        <v>3342</v>
      </c>
    </row>
    <row customHeight="1" ht="11.25">
      <c r="A66" s="0" t="s">
        <v>16</v>
      </c>
      <c r="B66" s="0" t="s">
        <v>3323</v>
      </c>
      <c r="C66" s="0" t="s">
        <v>3324</v>
      </c>
      <c r="D66" s="0" t="s">
        <v>3343</v>
      </c>
      <c r="E66" s="0" t="s">
        <v>3344</v>
      </c>
      <c r="F66" s="0" t="s">
        <v>3212</v>
      </c>
      <c r="G66" s="0" t="s">
        <v>3345</v>
      </c>
    </row>
    <row customHeight="1" ht="11.25">
      <c r="A67" s="0" t="s">
        <v>16</v>
      </c>
      <c r="B67" s="0" t="s">
        <v>3323</v>
      </c>
      <c r="C67" s="0" t="s">
        <v>3324</v>
      </c>
      <c r="D67" s="0" t="s">
        <v>3346</v>
      </c>
      <c r="E67" s="0" t="s">
        <v>3347</v>
      </c>
      <c r="F67" s="0" t="s">
        <v>3212</v>
      </c>
      <c r="G67" s="0" t="s">
        <v>2044</v>
      </c>
    </row>
    <row customHeight="1" ht="11.25">
      <c r="A68" s="0" t="s">
        <v>16</v>
      </c>
      <c r="B68" s="0" t="s">
        <v>3323</v>
      </c>
      <c r="C68" s="0" t="s">
        <v>3324</v>
      </c>
      <c r="D68" s="0" t="s">
        <v>3348</v>
      </c>
      <c r="E68" s="0" t="s">
        <v>3349</v>
      </c>
      <c r="F68" s="0" t="s">
        <v>3212</v>
      </c>
      <c r="G68" s="0" t="s">
        <v>3350</v>
      </c>
    </row>
    <row customHeight="1" ht="11.25">
      <c r="A69" s="0" t="s">
        <v>16</v>
      </c>
      <c r="B69" s="0" t="s">
        <v>3323</v>
      </c>
      <c r="C69" s="0" t="s">
        <v>3324</v>
      </c>
      <c r="D69" s="0" t="s">
        <v>3351</v>
      </c>
      <c r="E69" s="0" t="s">
        <v>3352</v>
      </c>
      <c r="F69" s="0" t="s">
        <v>3254</v>
      </c>
      <c r="G69" s="0" t="s">
        <v>2247</v>
      </c>
    </row>
    <row customHeight="1" ht="11.25">
      <c r="A70" s="0" t="s">
        <v>16</v>
      </c>
      <c r="B70" s="0" t="s">
        <v>3323</v>
      </c>
      <c r="C70" s="0" t="s">
        <v>3324</v>
      </c>
      <c r="D70" s="0" t="s">
        <v>3353</v>
      </c>
      <c r="E70" s="0" t="s">
        <v>3354</v>
      </c>
      <c r="F70" s="0" t="s">
        <v>3212</v>
      </c>
      <c r="G70" s="0" t="s">
        <v>3355</v>
      </c>
    </row>
    <row customHeight="1" ht="11.25">
      <c r="A71" s="0" t="s">
        <v>16</v>
      </c>
      <c r="B71" s="0" t="s">
        <v>3323</v>
      </c>
      <c r="C71" s="0" t="s">
        <v>3324</v>
      </c>
      <c r="D71" s="0" t="s">
        <v>3356</v>
      </c>
      <c r="E71" s="0" t="s">
        <v>3357</v>
      </c>
      <c r="F71" s="0" t="s">
        <v>3212</v>
      </c>
      <c r="G71" s="0" t="s">
        <v>3358</v>
      </c>
    </row>
    <row customHeight="1" ht="11.25">
      <c r="A72" s="0" t="s">
        <v>16</v>
      </c>
      <c r="B72" s="0" t="s">
        <v>3323</v>
      </c>
      <c r="C72" s="0" t="s">
        <v>3324</v>
      </c>
      <c r="D72" s="0" t="s">
        <v>3359</v>
      </c>
      <c r="E72" s="0" t="s">
        <v>3360</v>
      </c>
      <c r="F72" s="0" t="s">
        <v>3212</v>
      </c>
      <c r="G72" s="0" t="s">
        <v>3361</v>
      </c>
    </row>
    <row customHeight="1" ht="11.25">
      <c r="A73" s="0" t="s">
        <v>16</v>
      </c>
      <c r="B73" s="0" t="s">
        <v>3323</v>
      </c>
      <c r="C73" s="0" t="s">
        <v>3324</v>
      </c>
      <c r="D73" s="0" t="s">
        <v>3362</v>
      </c>
      <c r="E73" s="0" t="s">
        <v>3363</v>
      </c>
      <c r="F73" s="0" t="s">
        <v>3212</v>
      </c>
      <c r="G73" s="0" t="s">
        <v>3364</v>
      </c>
    </row>
    <row customHeight="1" ht="11.25">
      <c r="A74" s="0" t="s">
        <v>16</v>
      </c>
      <c r="B74" s="0" t="s">
        <v>3365</v>
      </c>
      <c r="C74" s="0" t="s">
        <v>3366</v>
      </c>
      <c r="D74" s="0" t="s">
        <v>3365</v>
      </c>
      <c r="E74" s="0" t="s">
        <v>3366</v>
      </c>
      <c r="F74" s="0" t="s">
        <v>3209</v>
      </c>
      <c r="G74" s="0" t="s">
        <v>3367</v>
      </c>
    </row>
    <row customHeight="1" ht="11.25">
      <c r="A75" s="0" t="s">
        <v>16</v>
      </c>
      <c r="B75" s="0" t="s">
        <v>3365</v>
      </c>
      <c r="C75" s="0" t="s">
        <v>3366</v>
      </c>
      <c r="D75" s="0" t="s">
        <v>3368</v>
      </c>
      <c r="E75" s="0" t="s">
        <v>3369</v>
      </c>
      <c r="F75" s="0" t="s">
        <v>3212</v>
      </c>
      <c r="G75" s="0" t="s">
        <v>3370</v>
      </c>
    </row>
    <row customHeight="1" ht="11.25">
      <c r="A76" s="0" t="s">
        <v>16</v>
      </c>
      <c r="B76" s="0" t="s">
        <v>3365</v>
      </c>
      <c r="C76" s="0" t="s">
        <v>3366</v>
      </c>
      <c r="D76" s="0" t="s">
        <v>3371</v>
      </c>
      <c r="E76" s="0" t="s">
        <v>3372</v>
      </c>
      <c r="F76" s="0" t="s">
        <v>3212</v>
      </c>
      <c r="G76" s="0" t="s">
        <v>3373</v>
      </c>
    </row>
    <row customHeight="1" ht="11.25">
      <c r="A77" s="0" t="s">
        <v>16</v>
      </c>
      <c r="B77" s="0" t="s">
        <v>3365</v>
      </c>
      <c r="C77" s="0" t="s">
        <v>3366</v>
      </c>
      <c r="D77" s="0" t="s">
        <v>3374</v>
      </c>
      <c r="E77" s="0" t="s">
        <v>3375</v>
      </c>
      <c r="F77" s="0" t="s">
        <v>3212</v>
      </c>
      <c r="G77" s="0" t="s">
        <v>3376</v>
      </c>
    </row>
    <row customHeight="1" ht="11.25">
      <c r="A78" s="0" t="s">
        <v>16</v>
      </c>
      <c r="B78" s="0" t="s">
        <v>98</v>
      </c>
      <c r="C78" s="0" t="s">
        <v>99</v>
      </c>
      <c r="D78" s="0" t="s">
        <v>98</v>
      </c>
      <c r="E78" s="0" t="s">
        <v>99</v>
      </c>
      <c r="F78" s="0" t="s">
        <v>3377</v>
      </c>
      <c r="G78" s="0" t="s">
        <v>97</v>
      </c>
    </row>
    <row customHeight="1" ht="11.25">
      <c r="A79" s="0" t="s">
        <v>16</v>
      </c>
      <c r="B79" s="0" t="s">
        <v>3378</v>
      </c>
      <c r="C79" s="0" t="s">
        <v>3379</v>
      </c>
      <c r="D79" s="0" t="s">
        <v>3380</v>
      </c>
      <c r="E79" s="0" t="s">
        <v>3381</v>
      </c>
      <c r="F79" s="0" t="s">
        <v>3212</v>
      </c>
      <c r="G79" s="0" t="s">
        <v>3382</v>
      </c>
    </row>
    <row customHeight="1" ht="11.25">
      <c r="A80" s="0" t="s">
        <v>16</v>
      </c>
      <c r="B80" s="0" t="s">
        <v>3378</v>
      </c>
      <c r="C80" s="0" t="s">
        <v>3379</v>
      </c>
      <c r="D80" s="0" t="s">
        <v>3383</v>
      </c>
      <c r="E80" s="0" t="s">
        <v>3384</v>
      </c>
      <c r="F80" s="0" t="s">
        <v>3212</v>
      </c>
      <c r="G80" s="0" t="s">
        <v>3385</v>
      </c>
    </row>
    <row customHeight="1" ht="11.25">
      <c r="A81" s="0" t="s">
        <v>16</v>
      </c>
      <c r="B81" s="0" t="s">
        <v>3378</v>
      </c>
      <c r="C81" s="0" t="s">
        <v>3379</v>
      </c>
      <c r="D81" s="0" t="s">
        <v>3386</v>
      </c>
      <c r="E81" s="0" t="s">
        <v>3387</v>
      </c>
      <c r="F81" s="0" t="s">
        <v>3212</v>
      </c>
      <c r="G81" s="0" t="s">
        <v>3388</v>
      </c>
    </row>
    <row customHeight="1" ht="11.25">
      <c r="A82" s="0" t="s">
        <v>16</v>
      </c>
      <c r="B82" s="0" t="s">
        <v>3378</v>
      </c>
      <c r="C82" s="0" t="s">
        <v>3379</v>
      </c>
      <c r="D82" s="0" t="s">
        <v>3378</v>
      </c>
      <c r="E82" s="0" t="s">
        <v>3379</v>
      </c>
      <c r="F82" s="0" t="s">
        <v>3209</v>
      </c>
      <c r="G82" s="0" t="s">
        <v>3389</v>
      </c>
    </row>
    <row customHeight="1" ht="11.25">
      <c r="A83" s="0" t="s">
        <v>16</v>
      </c>
      <c r="B83" s="0" t="s">
        <v>3378</v>
      </c>
      <c r="C83" s="0" t="s">
        <v>3379</v>
      </c>
      <c r="D83" s="0" t="s">
        <v>3390</v>
      </c>
      <c r="E83" s="0" t="s">
        <v>3391</v>
      </c>
      <c r="F83" s="0" t="s">
        <v>3254</v>
      </c>
      <c r="G83" s="0" t="s">
        <v>3392</v>
      </c>
    </row>
    <row customHeight="1" ht="11.25">
      <c r="A84" s="0" t="s">
        <v>16</v>
      </c>
      <c r="B84" s="0" t="s">
        <v>3378</v>
      </c>
      <c r="C84" s="0" t="s">
        <v>3379</v>
      </c>
      <c r="D84" s="0" t="s">
        <v>3393</v>
      </c>
      <c r="E84" s="0" t="s">
        <v>3394</v>
      </c>
      <c r="F84" s="0" t="s">
        <v>3212</v>
      </c>
      <c r="G84" s="0" t="s">
        <v>3395</v>
      </c>
    </row>
    <row customHeight="1" ht="11.25">
      <c r="A85" s="0" t="s">
        <v>16</v>
      </c>
      <c r="B85" s="0" t="s">
        <v>3378</v>
      </c>
      <c r="C85" s="0" t="s">
        <v>3379</v>
      </c>
      <c r="D85" s="0" t="s">
        <v>3396</v>
      </c>
      <c r="E85" s="0" t="s">
        <v>3397</v>
      </c>
      <c r="F85" s="0" t="s">
        <v>3212</v>
      </c>
      <c r="G85" s="0" t="s">
        <v>3398</v>
      </c>
    </row>
    <row customHeight="1" ht="11.25">
      <c r="A86" s="0" t="s">
        <v>16</v>
      </c>
      <c r="B86" s="0" t="s">
        <v>3378</v>
      </c>
      <c r="C86" s="0" t="s">
        <v>3379</v>
      </c>
      <c r="D86" s="0" t="s">
        <v>3293</v>
      </c>
      <c r="E86" s="0" t="s">
        <v>3399</v>
      </c>
      <c r="F86" s="0" t="s">
        <v>3212</v>
      </c>
      <c r="G86" s="0" t="s">
        <v>3400</v>
      </c>
    </row>
    <row customHeight="1" ht="11.25">
      <c r="A87" s="0" t="s">
        <v>16</v>
      </c>
      <c r="B87" s="0" t="s">
        <v>3378</v>
      </c>
      <c r="C87" s="0" t="s">
        <v>3379</v>
      </c>
      <c r="D87" s="0" t="s">
        <v>3401</v>
      </c>
      <c r="E87" s="0" t="s">
        <v>3402</v>
      </c>
      <c r="F87" s="0" t="s">
        <v>3212</v>
      </c>
      <c r="G87" s="0" t="s">
        <v>3403</v>
      </c>
    </row>
    <row customHeight="1" ht="11.25">
      <c r="A88" s="0" t="s">
        <v>16</v>
      </c>
      <c r="B88" s="0" t="s">
        <v>3378</v>
      </c>
      <c r="C88" s="0" t="s">
        <v>3379</v>
      </c>
      <c r="D88" s="0" t="s">
        <v>3404</v>
      </c>
      <c r="E88" s="0" t="s">
        <v>3405</v>
      </c>
      <c r="F88" s="0" t="s">
        <v>3212</v>
      </c>
      <c r="G88" s="0" t="s">
        <v>3406</v>
      </c>
    </row>
    <row customHeight="1" ht="11.25">
      <c r="A89" s="0" t="s">
        <v>16</v>
      </c>
      <c r="B89" s="0" t="s">
        <v>3378</v>
      </c>
      <c r="C89" s="0" t="s">
        <v>3379</v>
      </c>
      <c r="D89" s="0" t="s">
        <v>3407</v>
      </c>
      <c r="E89" s="0" t="s">
        <v>3408</v>
      </c>
      <c r="F89" s="0" t="s">
        <v>3212</v>
      </c>
      <c r="G89" s="0" t="s">
        <v>3409</v>
      </c>
    </row>
    <row customHeight="1" ht="11.25">
      <c r="A90" s="0" t="s">
        <v>16</v>
      </c>
      <c r="B90" s="0" t="s">
        <v>3410</v>
      </c>
      <c r="C90" s="0" t="s">
        <v>3411</v>
      </c>
      <c r="D90" s="0" t="s">
        <v>3412</v>
      </c>
      <c r="E90" s="0" t="s">
        <v>3413</v>
      </c>
      <c r="F90" s="0" t="s">
        <v>3212</v>
      </c>
      <c r="G90" s="0" t="s">
        <v>3414</v>
      </c>
    </row>
    <row customHeight="1" ht="11.25">
      <c r="A91" s="0" t="s">
        <v>16</v>
      </c>
      <c r="B91" s="0" t="s">
        <v>3410</v>
      </c>
      <c r="C91" s="0" t="s">
        <v>3411</v>
      </c>
      <c r="D91" s="0" t="s">
        <v>3415</v>
      </c>
      <c r="E91" s="0" t="s">
        <v>3416</v>
      </c>
      <c r="F91" s="0" t="s">
        <v>3212</v>
      </c>
      <c r="G91" s="0" t="s">
        <v>3417</v>
      </c>
    </row>
    <row customHeight="1" ht="11.25">
      <c r="A92" s="0" t="s">
        <v>16</v>
      </c>
      <c r="B92" s="0" t="s">
        <v>3410</v>
      </c>
      <c r="C92" s="0" t="s">
        <v>3411</v>
      </c>
      <c r="D92" s="0" t="s">
        <v>3418</v>
      </c>
      <c r="E92" s="0" t="s">
        <v>3419</v>
      </c>
      <c r="F92" s="0" t="s">
        <v>3212</v>
      </c>
      <c r="G92" s="0" t="s">
        <v>3420</v>
      </c>
    </row>
    <row customHeight="1" ht="11.25">
      <c r="A93" s="0" t="s">
        <v>16</v>
      </c>
      <c r="B93" s="0" t="s">
        <v>3410</v>
      </c>
      <c r="C93" s="0" t="s">
        <v>3411</v>
      </c>
      <c r="D93" s="0" t="s">
        <v>3421</v>
      </c>
      <c r="E93" s="0" t="s">
        <v>3422</v>
      </c>
      <c r="F93" s="0" t="s">
        <v>3212</v>
      </c>
      <c r="G93" s="0" t="s">
        <v>3423</v>
      </c>
    </row>
    <row customHeight="1" ht="11.25">
      <c r="A94" s="0" t="s">
        <v>16</v>
      </c>
      <c r="B94" s="0" t="s">
        <v>3410</v>
      </c>
      <c r="C94" s="0" t="s">
        <v>3411</v>
      </c>
      <c r="D94" s="0" t="s">
        <v>3410</v>
      </c>
      <c r="E94" s="0" t="s">
        <v>3411</v>
      </c>
      <c r="F94" s="0" t="s">
        <v>3209</v>
      </c>
      <c r="G94" s="0" t="s">
        <v>3424</v>
      </c>
    </row>
    <row customHeight="1" ht="11.25">
      <c r="A95" s="0" t="s">
        <v>16</v>
      </c>
      <c r="B95" s="0" t="s">
        <v>3410</v>
      </c>
      <c r="C95" s="0" t="s">
        <v>3411</v>
      </c>
      <c r="D95" s="0" t="s">
        <v>3425</v>
      </c>
      <c r="E95" s="0" t="s">
        <v>3426</v>
      </c>
      <c r="F95" s="0" t="s">
        <v>3254</v>
      </c>
      <c r="G95" s="0" t="s">
        <v>3427</v>
      </c>
    </row>
    <row customHeight="1" ht="11.25">
      <c r="A96" s="0" t="s">
        <v>16</v>
      </c>
      <c r="B96" s="0" t="s">
        <v>3410</v>
      </c>
      <c r="C96" s="0" t="s">
        <v>3411</v>
      </c>
      <c r="D96" s="0" t="s">
        <v>3257</v>
      </c>
      <c r="E96" s="0" t="s">
        <v>3428</v>
      </c>
      <c r="F96" s="0" t="s">
        <v>3212</v>
      </c>
      <c r="G96" s="0" t="s">
        <v>3429</v>
      </c>
    </row>
    <row customHeight="1" ht="11.25">
      <c r="A97" s="0" t="s">
        <v>16</v>
      </c>
      <c r="B97" s="0" t="s">
        <v>3410</v>
      </c>
      <c r="C97" s="0" t="s">
        <v>3411</v>
      </c>
      <c r="D97" s="0" t="s">
        <v>3430</v>
      </c>
      <c r="E97" s="0" t="s">
        <v>3431</v>
      </c>
      <c r="F97" s="0" t="s">
        <v>3212</v>
      </c>
      <c r="G97" s="0" t="s">
        <v>3432</v>
      </c>
    </row>
    <row customHeight="1" ht="11.25">
      <c r="A98" s="0" t="s">
        <v>16</v>
      </c>
      <c r="B98" s="0" t="s">
        <v>3433</v>
      </c>
      <c r="C98" s="0" t="s">
        <v>3434</v>
      </c>
      <c r="D98" s="0" t="s">
        <v>3435</v>
      </c>
      <c r="E98" s="0" t="s">
        <v>3436</v>
      </c>
      <c r="F98" s="0" t="s">
        <v>3212</v>
      </c>
      <c r="G98" s="0" t="s">
        <v>3437</v>
      </c>
    </row>
    <row customHeight="1" ht="11.25">
      <c r="A99" s="0" t="s">
        <v>16</v>
      </c>
      <c r="B99" s="0" t="s">
        <v>3433</v>
      </c>
      <c r="C99" s="0" t="s">
        <v>3434</v>
      </c>
      <c r="D99" s="0" t="s">
        <v>3438</v>
      </c>
      <c r="E99" s="0" t="s">
        <v>3439</v>
      </c>
      <c r="F99" s="0" t="s">
        <v>3212</v>
      </c>
      <c r="G99" s="0" t="s">
        <v>3440</v>
      </c>
    </row>
    <row customHeight="1" ht="11.25">
      <c r="A100" s="0" t="s">
        <v>16</v>
      </c>
      <c r="B100" s="0" t="s">
        <v>3433</v>
      </c>
      <c r="C100" s="0" t="s">
        <v>3434</v>
      </c>
      <c r="D100" s="0" t="s">
        <v>3441</v>
      </c>
      <c r="E100" s="0" t="s">
        <v>3442</v>
      </c>
      <c r="F100" s="0" t="s">
        <v>3212</v>
      </c>
      <c r="G100" s="0" t="s">
        <v>3443</v>
      </c>
    </row>
    <row customHeight="1" ht="11.25">
      <c r="A101" s="0" t="s">
        <v>16</v>
      </c>
      <c r="B101" s="0" t="s">
        <v>3433</v>
      </c>
      <c r="C101" s="0" t="s">
        <v>3434</v>
      </c>
      <c r="D101" s="0" t="s">
        <v>3444</v>
      </c>
      <c r="E101" s="0" t="s">
        <v>3445</v>
      </c>
      <c r="F101" s="0" t="s">
        <v>3212</v>
      </c>
      <c r="G101" s="0" t="s">
        <v>3446</v>
      </c>
    </row>
    <row customHeight="1" ht="11.25">
      <c r="A102" s="0" t="s">
        <v>16</v>
      </c>
      <c r="B102" s="0" t="s">
        <v>3433</v>
      </c>
      <c r="C102" s="0" t="s">
        <v>3434</v>
      </c>
      <c r="D102" s="0" t="s">
        <v>3433</v>
      </c>
      <c r="E102" s="0" t="s">
        <v>3434</v>
      </c>
      <c r="F102" s="0" t="s">
        <v>3209</v>
      </c>
      <c r="G102" s="0" t="s">
        <v>3447</v>
      </c>
    </row>
    <row customHeight="1" ht="11.25">
      <c r="A103" s="0" t="s">
        <v>16</v>
      </c>
      <c r="B103" s="0" t="s">
        <v>3433</v>
      </c>
      <c r="C103" s="0" t="s">
        <v>3434</v>
      </c>
      <c r="D103" s="0" t="s">
        <v>3448</v>
      </c>
      <c r="E103" s="0" t="s">
        <v>3449</v>
      </c>
      <c r="F103" s="0" t="s">
        <v>3254</v>
      </c>
      <c r="G103" s="0" t="s">
        <v>3450</v>
      </c>
    </row>
    <row customHeight="1" ht="11.25">
      <c r="A104" s="0" t="s">
        <v>16</v>
      </c>
      <c r="B104" s="0" t="s">
        <v>3433</v>
      </c>
      <c r="C104" s="0" t="s">
        <v>3434</v>
      </c>
      <c r="D104" s="0" t="s">
        <v>3451</v>
      </c>
      <c r="E104" s="0" t="s">
        <v>3452</v>
      </c>
      <c r="F104" s="0" t="s">
        <v>3212</v>
      </c>
      <c r="G104" s="0" t="s">
        <v>3453</v>
      </c>
    </row>
    <row customHeight="1" ht="11.25">
      <c r="A105" s="0" t="s">
        <v>16</v>
      </c>
      <c r="B105" s="0" t="s">
        <v>3433</v>
      </c>
      <c r="C105" s="0" t="s">
        <v>3434</v>
      </c>
      <c r="D105" s="0" t="s">
        <v>3454</v>
      </c>
      <c r="E105" s="0" t="s">
        <v>3455</v>
      </c>
      <c r="F105" s="0" t="s">
        <v>3212</v>
      </c>
      <c r="G105" s="0" t="s">
        <v>3456</v>
      </c>
    </row>
    <row customHeight="1" ht="11.25">
      <c r="A106" s="0" t="s">
        <v>16</v>
      </c>
      <c r="B106" s="0" t="s">
        <v>3433</v>
      </c>
      <c r="C106" s="0" t="s">
        <v>3434</v>
      </c>
      <c r="D106" s="0" t="s">
        <v>3457</v>
      </c>
      <c r="E106" s="0" t="s">
        <v>3458</v>
      </c>
      <c r="F106" s="0" t="s">
        <v>3212</v>
      </c>
      <c r="G106" s="0" t="s">
        <v>3459</v>
      </c>
    </row>
    <row customHeight="1" ht="11.25">
      <c r="A107" s="0" t="s">
        <v>16</v>
      </c>
      <c r="B107" s="0" t="s">
        <v>3433</v>
      </c>
      <c r="C107" s="0" t="s">
        <v>3434</v>
      </c>
      <c r="D107" s="0" t="s">
        <v>3460</v>
      </c>
      <c r="E107" s="0" t="s">
        <v>3461</v>
      </c>
      <c r="F107" s="0" t="s">
        <v>3212</v>
      </c>
      <c r="G107" s="0" t="s">
        <v>3462</v>
      </c>
    </row>
    <row customHeight="1" ht="11.25">
      <c r="A108" s="0" t="s">
        <v>16</v>
      </c>
      <c r="B108" s="0" t="s">
        <v>3433</v>
      </c>
      <c r="C108" s="0" t="s">
        <v>3434</v>
      </c>
      <c r="D108" s="0" t="s">
        <v>3463</v>
      </c>
      <c r="E108" s="0" t="s">
        <v>3464</v>
      </c>
      <c r="F108" s="0" t="s">
        <v>3212</v>
      </c>
      <c r="G108" s="0" t="s">
        <v>3465</v>
      </c>
    </row>
    <row customHeight="1" ht="11.25">
      <c r="A109" s="0" t="s">
        <v>16</v>
      </c>
      <c r="B109" s="0" t="s">
        <v>3433</v>
      </c>
      <c r="C109" s="0" t="s">
        <v>3434</v>
      </c>
      <c r="D109" s="0" t="s">
        <v>3466</v>
      </c>
      <c r="E109" s="0" t="s">
        <v>3467</v>
      </c>
      <c r="F109" s="0" t="s">
        <v>3212</v>
      </c>
      <c r="G109" s="0" t="s">
        <v>3468</v>
      </c>
    </row>
    <row customHeight="1" ht="11.25">
      <c r="A110" s="0" t="s">
        <v>16</v>
      </c>
      <c r="B110" s="0" t="s">
        <v>3469</v>
      </c>
      <c r="C110" s="0" t="s">
        <v>3470</v>
      </c>
      <c r="D110" s="0" t="s">
        <v>3471</v>
      </c>
      <c r="E110" s="0" t="s">
        <v>3472</v>
      </c>
      <c r="F110" s="0" t="s">
        <v>3212</v>
      </c>
      <c r="G110" s="0" t="s">
        <v>3473</v>
      </c>
    </row>
    <row customHeight="1" ht="11.25">
      <c r="A111" s="0" t="s">
        <v>16</v>
      </c>
      <c r="B111" s="0" t="s">
        <v>3469</v>
      </c>
      <c r="C111" s="0" t="s">
        <v>3470</v>
      </c>
      <c r="D111" s="0" t="s">
        <v>3474</v>
      </c>
      <c r="E111" s="0" t="s">
        <v>3475</v>
      </c>
      <c r="F111" s="0" t="s">
        <v>3221</v>
      </c>
      <c r="G111" s="0" t="s">
        <v>3476</v>
      </c>
    </row>
    <row customHeight="1" ht="11.25">
      <c r="A112" s="0" t="s">
        <v>16</v>
      </c>
      <c r="B112" s="0" t="s">
        <v>3469</v>
      </c>
      <c r="C112" s="0" t="s">
        <v>3470</v>
      </c>
      <c r="D112" s="0" t="s">
        <v>3477</v>
      </c>
      <c r="E112" s="0" t="s">
        <v>3478</v>
      </c>
      <c r="F112" s="0" t="s">
        <v>3212</v>
      </c>
      <c r="G112" s="0" t="s">
        <v>632</v>
      </c>
    </row>
    <row customHeight="1" ht="11.25">
      <c r="A113" s="0" t="s">
        <v>16</v>
      </c>
      <c r="B113" s="0" t="s">
        <v>3469</v>
      </c>
      <c r="C113" s="0" t="s">
        <v>3470</v>
      </c>
      <c r="D113" s="0" t="s">
        <v>3469</v>
      </c>
      <c r="E113" s="0" t="s">
        <v>3470</v>
      </c>
      <c r="F113" s="0" t="s">
        <v>3209</v>
      </c>
      <c r="G113" s="0" t="s">
        <v>3479</v>
      </c>
    </row>
    <row customHeight="1" ht="11.25">
      <c r="A114" s="0" t="s">
        <v>16</v>
      </c>
      <c r="B114" s="0" t="s">
        <v>3469</v>
      </c>
      <c r="C114" s="0" t="s">
        <v>3470</v>
      </c>
      <c r="D114" s="0" t="s">
        <v>3480</v>
      </c>
      <c r="E114" s="0" t="s">
        <v>3481</v>
      </c>
      <c r="F114" s="0" t="s">
        <v>3212</v>
      </c>
      <c r="G114" s="0" t="s">
        <v>3482</v>
      </c>
    </row>
    <row customHeight="1" ht="11.25">
      <c r="A115" s="0" t="s">
        <v>16</v>
      </c>
      <c r="B115" s="0" t="s">
        <v>3469</v>
      </c>
      <c r="C115" s="0" t="s">
        <v>3470</v>
      </c>
      <c r="D115" s="0" t="s">
        <v>3483</v>
      </c>
      <c r="E115" s="0" t="s">
        <v>3484</v>
      </c>
      <c r="F115" s="0" t="s">
        <v>3212</v>
      </c>
      <c r="G115" s="0" t="s">
        <v>3485</v>
      </c>
    </row>
    <row customHeight="1" ht="11.25">
      <c r="A116" s="0" t="s">
        <v>16</v>
      </c>
      <c r="B116" s="0" t="s">
        <v>3469</v>
      </c>
      <c r="C116" s="0" t="s">
        <v>3470</v>
      </c>
      <c r="D116" s="0" t="s">
        <v>3486</v>
      </c>
      <c r="E116" s="0" t="s">
        <v>3487</v>
      </c>
      <c r="F116" s="0" t="s">
        <v>3212</v>
      </c>
      <c r="G116" s="0" t="s">
        <v>3488</v>
      </c>
    </row>
    <row customHeight="1" ht="11.25">
      <c r="A117" s="0" t="s">
        <v>16</v>
      </c>
      <c r="B117" s="0" t="s">
        <v>3469</v>
      </c>
      <c r="C117" s="0" t="s">
        <v>3470</v>
      </c>
      <c r="D117" s="0" t="s">
        <v>3489</v>
      </c>
      <c r="E117" s="0" t="s">
        <v>3490</v>
      </c>
      <c r="F117" s="0" t="s">
        <v>3212</v>
      </c>
      <c r="G117" s="0" t="s">
        <v>3491</v>
      </c>
    </row>
    <row customHeight="1" ht="11.25">
      <c r="A118" s="0" t="s">
        <v>16</v>
      </c>
      <c r="B118" s="0" t="s">
        <v>3469</v>
      </c>
      <c r="C118" s="0" t="s">
        <v>3470</v>
      </c>
      <c r="D118" s="0" t="s">
        <v>3492</v>
      </c>
      <c r="E118" s="0" t="s">
        <v>3493</v>
      </c>
      <c r="F118" s="0" t="s">
        <v>3212</v>
      </c>
      <c r="G118" s="0" t="s">
        <v>3494</v>
      </c>
    </row>
    <row customHeight="1" ht="11.25">
      <c r="A119" s="0" t="s">
        <v>16</v>
      </c>
      <c r="B119" s="0" t="s">
        <v>3469</v>
      </c>
      <c r="C119" s="0" t="s">
        <v>3470</v>
      </c>
      <c r="D119" s="0" t="s">
        <v>3495</v>
      </c>
      <c r="E119" s="0" t="s">
        <v>3496</v>
      </c>
      <c r="F119" s="0" t="s">
        <v>3212</v>
      </c>
      <c r="G119" s="0" t="s">
        <v>3497</v>
      </c>
    </row>
    <row customHeight="1" ht="11.25">
      <c r="A120" s="0" t="s">
        <v>16</v>
      </c>
      <c r="B120" s="0" t="s">
        <v>3498</v>
      </c>
      <c r="C120" s="0" t="s">
        <v>3499</v>
      </c>
      <c r="D120" s="0" t="s">
        <v>3498</v>
      </c>
      <c r="E120" s="0" t="s">
        <v>3499</v>
      </c>
      <c r="F120" s="0" t="s">
        <v>3377</v>
      </c>
      <c r="G120" s="0" t="s">
        <v>3500</v>
      </c>
    </row>
    <row customHeight="1" ht="11.25">
      <c r="A121" s="0" t="s">
        <v>16</v>
      </c>
      <c r="B121" s="0" t="s">
        <v>3501</v>
      </c>
      <c r="C121" s="0" t="s">
        <v>3502</v>
      </c>
      <c r="D121" s="0" t="s">
        <v>3503</v>
      </c>
      <c r="E121" s="0" t="s">
        <v>3504</v>
      </c>
      <c r="F121" s="0" t="s">
        <v>3212</v>
      </c>
      <c r="G121" s="0" t="s">
        <v>3505</v>
      </c>
    </row>
    <row customHeight="1" ht="11.25">
      <c r="A122" s="0" t="s">
        <v>16</v>
      </c>
      <c r="B122" s="0" t="s">
        <v>3501</v>
      </c>
      <c r="C122" s="0" t="s">
        <v>3502</v>
      </c>
      <c r="D122" s="0" t="s">
        <v>3506</v>
      </c>
      <c r="E122" s="0" t="s">
        <v>3507</v>
      </c>
      <c r="F122" s="0" t="s">
        <v>3212</v>
      </c>
      <c r="G122" s="0" t="s">
        <v>3508</v>
      </c>
    </row>
    <row customHeight="1" ht="11.25">
      <c r="A123" s="0" t="s">
        <v>16</v>
      </c>
      <c r="B123" s="0" t="s">
        <v>3501</v>
      </c>
      <c r="C123" s="0" t="s">
        <v>3502</v>
      </c>
      <c r="D123" s="0" t="s">
        <v>3509</v>
      </c>
      <c r="E123" s="0" t="s">
        <v>3510</v>
      </c>
      <c r="F123" s="0" t="s">
        <v>3212</v>
      </c>
      <c r="G123" s="0" t="s">
        <v>3511</v>
      </c>
    </row>
    <row customHeight="1" ht="11.25">
      <c r="A124" s="0" t="s">
        <v>16</v>
      </c>
      <c r="B124" s="0" t="s">
        <v>3501</v>
      </c>
      <c r="C124" s="0" t="s">
        <v>3502</v>
      </c>
      <c r="D124" s="0" t="s">
        <v>3501</v>
      </c>
      <c r="E124" s="0" t="s">
        <v>3502</v>
      </c>
      <c r="F124" s="0" t="s">
        <v>3209</v>
      </c>
      <c r="G124" s="0" t="s">
        <v>3512</v>
      </c>
    </row>
    <row customHeight="1" ht="11.25">
      <c r="A125" s="0" t="s">
        <v>16</v>
      </c>
      <c r="B125" s="0" t="s">
        <v>3501</v>
      </c>
      <c r="C125" s="0" t="s">
        <v>3502</v>
      </c>
      <c r="D125" s="0" t="s">
        <v>3513</v>
      </c>
      <c r="E125" s="0" t="s">
        <v>3514</v>
      </c>
      <c r="F125" s="0" t="s">
        <v>3212</v>
      </c>
      <c r="G125" s="0" t="s">
        <v>3515</v>
      </c>
    </row>
    <row customHeight="1" ht="11.25">
      <c r="A126" s="0" t="s">
        <v>16</v>
      </c>
      <c r="B126" s="0" t="s">
        <v>3501</v>
      </c>
      <c r="C126" s="0" t="s">
        <v>3502</v>
      </c>
      <c r="D126" s="0" t="s">
        <v>3516</v>
      </c>
      <c r="E126" s="0" t="s">
        <v>3517</v>
      </c>
      <c r="F126" s="0" t="s">
        <v>3212</v>
      </c>
      <c r="G126" s="0" t="s">
        <v>3518</v>
      </c>
    </row>
    <row customHeight="1" ht="11.25">
      <c r="A127" s="0" t="s">
        <v>16</v>
      </c>
      <c r="B127" s="0" t="s">
        <v>3501</v>
      </c>
      <c r="C127" s="0" t="s">
        <v>3502</v>
      </c>
      <c r="D127" s="0" t="s">
        <v>3519</v>
      </c>
      <c r="E127" s="0" t="s">
        <v>3520</v>
      </c>
      <c r="F127" s="0" t="s">
        <v>3212</v>
      </c>
      <c r="G127" s="0" t="s">
        <v>3521</v>
      </c>
    </row>
    <row customHeight="1" ht="11.25">
      <c r="A128" s="0" t="s">
        <v>16</v>
      </c>
      <c r="B128" s="0" t="s">
        <v>3501</v>
      </c>
      <c r="C128" s="0" t="s">
        <v>3502</v>
      </c>
      <c r="D128" s="0" t="s">
        <v>3522</v>
      </c>
      <c r="E128" s="0" t="s">
        <v>3523</v>
      </c>
      <c r="F128" s="0" t="s">
        <v>3212</v>
      </c>
      <c r="G128" s="0" t="s">
        <v>3524</v>
      </c>
    </row>
    <row customHeight="1" ht="11.25">
      <c r="A129" s="0" t="s">
        <v>16</v>
      </c>
      <c r="B129" s="0" t="s">
        <v>3501</v>
      </c>
      <c r="C129" s="0" t="s">
        <v>3502</v>
      </c>
      <c r="D129" s="0" t="s">
        <v>3525</v>
      </c>
      <c r="E129" s="0" t="s">
        <v>3526</v>
      </c>
      <c r="F129" s="0" t="s">
        <v>3212</v>
      </c>
      <c r="G129" s="0" t="s">
        <v>3527</v>
      </c>
    </row>
    <row customHeight="1" ht="11.25">
      <c r="A130" s="0" t="s">
        <v>16</v>
      </c>
      <c r="B130" s="0" t="s">
        <v>3501</v>
      </c>
      <c r="C130" s="0" t="s">
        <v>3502</v>
      </c>
      <c r="D130" s="0" t="s">
        <v>3528</v>
      </c>
      <c r="E130" s="0" t="s">
        <v>3529</v>
      </c>
      <c r="F130" s="0" t="s">
        <v>3212</v>
      </c>
      <c r="G130" s="0" t="s">
        <v>3530</v>
      </c>
    </row>
    <row customHeight="1" ht="11.25">
      <c r="A131" s="0" t="s">
        <v>16</v>
      </c>
      <c r="B131" s="0" t="s">
        <v>3531</v>
      </c>
      <c r="C131" s="0" t="s">
        <v>3532</v>
      </c>
      <c r="D131" s="0" t="s">
        <v>3533</v>
      </c>
      <c r="E131" s="0" t="s">
        <v>3534</v>
      </c>
      <c r="F131" s="0" t="s">
        <v>3212</v>
      </c>
      <c r="G131" s="0" t="s">
        <v>3535</v>
      </c>
    </row>
    <row customHeight="1" ht="11.25">
      <c r="A132" s="0" t="s">
        <v>16</v>
      </c>
      <c r="B132" s="0" t="s">
        <v>3531</v>
      </c>
      <c r="C132" s="0" t="s">
        <v>3532</v>
      </c>
      <c r="D132" s="0" t="s">
        <v>3536</v>
      </c>
      <c r="E132" s="0" t="s">
        <v>3537</v>
      </c>
      <c r="F132" s="0" t="s">
        <v>3221</v>
      </c>
      <c r="G132" s="0" t="s">
        <v>3538</v>
      </c>
    </row>
    <row customHeight="1" ht="11.25">
      <c r="A133" s="0" t="s">
        <v>16</v>
      </c>
      <c r="B133" s="0" t="s">
        <v>3531</v>
      </c>
      <c r="C133" s="0" t="s">
        <v>3532</v>
      </c>
      <c r="D133" s="0" t="s">
        <v>3539</v>
      </c>
      <c r="E133" s="0" t="s">
        <v>3540</v>
      </c>
      <c r="F133" s="0" t="s">
        <v>3212</v>
      </c>
      <c r="G133" s="0" t="s">
        <v>3541</v>
      </c>
    </row>
    <row customHeight="1" ht="11.25">
      <c r="A134" s="0" t="s">
        <v>16</v>
      </c>
      <c r="B134" s="0" t="s">
        <v>3531</v>
      </c>
      <c r="C134" s="0" t="s">
        <v>3532</v>
      </c>
      <c r="D134" s="0" t="s">
        <v>3531</v>
      </c>
      <c r="E134" s="0" t="s">
        <v>3532</v>
      </c>
      <c r="F134" s="0" t="s">
        <v>3209</v>
      </c>
      <c r="G134" s="0" t="s">
        <v>3542</v>
      </c>
    </row>
    <row customHeight="1" ht="11.25">
      <c r="A135" s="0" t="s">
        <v>16</v>
      </c>
      <c r="B135" s="0" t="s">
        <v>3531</v>
      </c>
      <c r="C135" s="0" t="s">
        <v>3532</v>
      </c>
      <c r="D135" s="0" t="s">
        <v>3543</v>
      </c>
      <c r="E135" s="0" t="s">
        <v>3544</v>
      </c>
      <c r="F135" s="0" t="s">
        <v>3212</v>
      </c>
      <c r="G135" s="0" t="s">
        <v>3545</v>
      </c>
    </row>
    <row customHeight="1" ht="11.25">
      <c r="A136" s="0" t="s">
        <v>16</v>
      </c>
      <c r="B136" s="0" t="s">
        <v>3531</v>
      </c>
      <c r="C136" s="0" t="s">
        <v>3532</v>
      </c>
      <c r="D136" s="0" t="s">
        <v>3546</v>
      </c>
      <c r="E136" s="0" t="s">
        <v>3547</v>
      </c>
      <c r="F136" s="0" t="s">
        <v>3212</v>
      </c>
      <c r="G136" s="0" t="s">
        <v>3548</v>
      </c>
    </row>
    <row customHeight="1" ht="11.25">
      <c r="A137" s="0" t="s">
        <v>16</v>
      </c>
      <c r="B137" s="0" t="s">
        <v>3531</v>
      </c>
      <c r="C137" s="0" t="s">
        <v>3532</v>
      </c>
      <c r="D137" s="0" t="s">
        <v>3549</v>
      </c>
      <c r="E137" s="0" t="s">
        <v>3550</v>
      </c>
      <c r="F137" s="0" t="s">
        <v>3212</v>
      </c>
      <c r="G137" s="0" t="s">
        <v>3551</v>
      </c>
    </row>
    <row customHeight="1" ht="11.25">
      <c r="A138" s="0" t="s">
        <v>16</v>
      </c>
      <c r="B138" s="0" t="s">
        <v>3531</v>
      </c>
      <c r="C138" s="0" t="s">
        <v>3532</v>
      </c>
      <c r="D138" s="0" t="s">
        <v>3552</v>
      </c>
      <c r="E138" s="0" t="s">
        <v>3553</v>
      </c>
      <c r="F138" s="0" t="s">
        <v>3212</v>
      </c>
      <c r="G138" s="0" t="s">
        <v>3554</v>
      </c>
    </row>
    <row customHeight="1" ht="11.25">
      <c r="A139" s="0" t="s">
        <v>16</v>
      </c>
      <c r="B139" s="0" t="s">
        <v>3531</v>
      </c>
      <c r="C139" s="0" t="s">
        <v>3532</v>
      </c>
      <c r="D139" s="0" t="s">
        <v>3555</v>
      </c>
      <c r="E139" s="0" t="s">
        <v>3556</v>
      </c>
      <c r="F139" s="0" t="s">
        <v>3212</v>
      </c>
      <c r="G139" s="0" t="s">
        <v>3557</v>
      </c>
    </row>
    <row customHeight="1" ht="11.25">
      <c r="A140" s="0" t="s">
        <v>16</v>
      </c>
      <c r="B140" s="0" t="s">
        <v>3531</v>
      </c>
      <c r="C140" s="0" t="s">
        <v>3532</v>
      </c>
      <c r="D140" s="0" t="s">
        <v>3558</v>
      </c>
      <c r="E140" s="0" t="s">
        <v>3559</v>
      </c>
      <c r="F140" s="0" t="s">
        <v>3212</v>
      </c>
      <c r="G140" s="0" t="s">
        <v>3560</v>
      </c>
    </row>
    <row customHeight="1" ht="11.25">
      <c r="A141" s="0" t="s">
        <v>16</v>
      </c>
      <c r="B141" s="0" t="s">
        <v>3531</v>
      </c>
      <c r="C141" s="0" t="s">
        <v>3532</v>
      </c>
      <c r="D141" s="0" t="s">
        <v>3561</v>
      </c>
      <c r="E141" s="0" t="s">
        <v>3562</v>
      </c>
      <c r="F141" s="0" t="s">
        <v>3212</v>
      </c>
      <c r="G141" s="0" t="s">
        <v>3563</v>
      </c>
    </row>
    <row customHeight="1" ht="11.25">
      <c r="A142" s="0" t="s">
        <v>16</v>
      </c>
      <c r="B142" s="0" t="s">
        <v>3531</v>
      </c>
      <c r="C142" s="0" t="s">
        <v>3532</v>
      </c>
      <c r="D142" s="0" t="s">
        <v>3564</v>
      </c>
      <c r="E142" s="0" t="s">
        <v>3565</v>
      </c>
      <c r="F142" s="0" t="s">
        <v>3212</v>
      </c>
      <c r="G142" s="0" t="s">
        <v>3566</v>
      </c>
    </row>
    <row customHeight="1" ht="11.25">
      <c r="A143" s="0" t="s">
        <v>16</v>
      </c>
      <c r="B143" s="0" t="s">
        <v>3567</v>
      </c>
      <c r="C143" s="0" t="s">
        <v>3568</v>
      </c>
      <c r="D143" s="0" t="s">
        <v>3569</v>
      </c>
      <c r="E143" s="0" t="s">
        <v>3570</v>
      </c>
      <c r="F143" s="0" t="s">
        <v>3212</v>
      </c>
      <c r="G143" s="0" t="s">
        <v>3571</v>
      </c>
    </row>
    <row customHeight="1" ht="11.25">
      <c r="A144" s="0" t="s">
        <v>16</v>
      </c>
      <c r="B144" s="0" t="s">
        <v>3567</v>
      </c>
      <c r="C144" s="0" t="s">
        <v>3568</v>
      </c>
      <c r="D144" s="0" t="s">
        <v>3572</v>
      </c>
      <c r="E144" s="0" t="s">
        <v>3573</v>
      </c>
      <c r="F144" s="0" t="s">
        <v>3212</v>
      </c>
      <c r="G144" s="0" t="s">
        <v>3574</v>
      </c>
    </row>
    <row customHeight="1" ht="11.25">
      <c r="A145" s="0" t="s">
        <v>16</v>
      </c>
      <c r="B145" s="0" t="s">
        <v>3567</v>
      </c>
      <c r="C145" s="0" t="s">
        <v>3568</v>
      </c>
      <c r="D145" s="0" t="s">
        <v>3575</v>
      </c>
      <c r="E145" s="0" t="s">
        <v>3576</v>
      </c>
      <c r="F145" s="0" t="s">
        <v>3221</v>
      </c>
      <c r="G145" s="0" t="s">
        <v>3577</v>
      </c>
    </row>
    <row customHeight="1" ht="11.25">
      <c r="A146" s="0" t="s">
        <v>16</v>
      </c>
      <c r="B146" s="0" t="s">
        <v>3567</v>
      </c>
      <c r="C146" s="0" t="s">
        <v>3568</v>
      </c>
      <c r="D146" s="0" t="s">
        <v>3578</v>
      </c>
      <c r="E146" s="0" t="s">
        <v>3579</v>
      </c>
      <c r="F146" s="0" t="s">
        <v>3212</v>
      </c>
      <c r="G146" s="0" t="s">
        <v>3580</v>
      </c>
    </row>
    <row customHeight="1" ht="11.25">
      <c r="A147" s="0" t="s">
        <v>16</v>
      </c>
      <c r="B147" s="0" t="s">
        <v>3567</v>
      </c>
      <c r="C147" s="0" t="s">
        <v>3568</v>
      </c>
      <c r="D147" s="0" t="s">
        <v>3581</v>
      </c>
      <c r="E147" s="0" t="s">
        <v>3582</v>
      </c>
      <c r="F147" s="0" t="s">
        <v>3254</v>
      </c>
      <c r="G147" s="0" t="s">
        <v>3583</v>
      </c>
    </row>
    <row customHeight="1" ht="11.25">
      <c r="A148" s="0" t="s">
        <v>16</v>
      </c>
      <c r="B148" s="0" t="s">
        <v>3567</v>
      </c>
      <c r="C148" s="0" t="s">
        <v>3568</v>
      </c>
      <c r="D148" s="0" t="s">
        <v>3584</v>
      </c>
      <c r="E148" s="0" t="s">
        <v>3585</v>
      </c>
      <c r="F148" s="0" t="s">
        <v>3212</v>
      </c>
      <c r="G148" s="0" t="s">
        <v>3586</v>
      </c>
    </row>
    <row customHeight="1" ht="11.25">
      <c r="A149" s="0" t="s">
        <v>16</v>
      </c>
      <c r="B149" s="0" t="s">
        <v>3567</v>
      </c>
      <c r="C149" s="0" t="s">
        <v>3568</v>
      </c>
      <c r="D149" s="0" t="s">
        <v>3567</v>
      </c>
      <c r="E149" s="0" t="s">
        <v>3568</v>
      </c>
      <c r="F149" s="0" t="s">
        <v>3209</v>
      </c>
      <c r="G149" s="0" t="s">
        <v>3587</v>
      </c>
    </row>
    <row customHeight="1" ht="11.25">
      <c r="A150" s="0" t="s">
        <v>16</v>
      </c>
      <c r="B150" s="0" t="s">
        <v>3567</v>
      </c>
      <c r="C150" s="0" t="s">
        <v>3568</v>
      </c>
      <c r="D150" s="0" t="s">
        <v>3588</v>
      </c>
      <c r="E150" s="0" t="s">
        <v>3589</v>
      </c>
      <c r="F150" s="0" t="s">
        <v>3212</v>
      </c>
      <c r="G150" s="0" t="s">
        <v>3590</v>
      </c>
    </row>
    <row customHeight="1" ht="11.25">
      <c r="A151" s="0" t="s">
        <v>16</v>
      </c>
      <c r="B151" s="0" t="s">
        <v>3567</v>
      </c>
      <c r="C151" s="0" t="s">
        <v>3568</v>
      </c>
      <c r="D151" s="0" t="s">
        <v>3591</v>
      </c>
      <c r="E151" s="0" t="s">
        <v>3592</v>
      </c>
      <c r="F151" s="0" t="s">
        <v>3212</v>
      </c>
      <c r="G151" s="0" t="s">
        <v>3593</v>
      </c>
    </row>
    <row customHeight="1" ht="11.25">
      <c r="A152" s="0" t="s">
        <v>16</v>
      </c>
      <c r="B152" s="0" t="s">
        <v>3567</v>
      </c>
      <c r="C152" s="0" t="s">
        <v>3568</v>
      </c>
      <c r="D152" s="0" t="s">
        <v>3594</v>
      </c>
      <c r="E152" s="0" t="s">
        <v>3595</v>
      </c>
      <c r="F152" s="0" t="s">
        <v>3212</v>
      </c>
      <c r="G152" s="0" t="s">
        <v>3596</v>
      </c>
    </row>
    <row customHeight="1" ht="11.25">
      <c r="A153" s="0" t="s">
        <v>16</v>
      </c>
      <c r="B153" s="0" t="s">
        <v>3567</v>
      </c>
      <c r="C153" s="0" t="s">
        <v>3568</v>
      </c>
      <c r="D153" s="0" t="s">
        <v>3597</v>
      </c>
      <c r="E153" s="0" t="s">
        <v>3598</v>
      </c>
      <c r="F153" s="0" t="s">
        <v>3212</v>
      </c>
      <c r="G153" s="0" t="s">
        <v>3599</v>
      </c>
    </row>
    <row customHeight="1" ht="11.25">
      <c r="A154" s="0" t="s">
        <v>16</v>
      </c>
      <c r="B154" s="0" t="s">
        <v>3567</v>
      </c>
      <c r="C154" s="0" t="s">
        <v>3568</v>
      </c>
      <c r="D154" s="0" t="s">
        <v>3600</v>
      </c>
      <c r="E154" s="0" t="s">
        <v>3601</v>
      </c>
      <c r="F154" s="0" t="s">
        <v>3212</v>
      </c>
      <c r="G154" s="0" t="s">
        <v>3602</v>
      </c>
    </row>
    <row customHeight="1" ht="11.25">
      <c r="A155" s="0" t="s">
        <v>16</v>
      </c>
      <c r="B155" s="0" t="s">
        <v>3603</v>
      </c>
      <c r="C155" s="0" t="s">
        <v>3604</v>
      </c>
      <c r="D155" s="0" t="s">
        <v>3605</v>
      </c>
      <c r="E155" s="0" t="s">
        <v>3606</v>
      </c>
      <c r="F155" s="0" t="s">
        <v>3221</v>
      </c>
      <c r="G155" s="0" t="s">
        <v>3607</v>
      </c>
    </row>
    <row customHeight="1" ht="11.25">
      <c r="A156" s="0" t="s">
        <v>16</v>
      </c>
      <c r="B156" s="0" t="s">
        <v>3603</v>
      </c>
      <c r="C156" s="0" t="s">
        <v>3604</v>
      </c>
      <c r="D156" s="0" t="s">
        <v>3608</v>
      </c>
      <c r="E156" s="0" t="s">
        <v>3609</v>
      </c>
      <c r="F156" s="0" t="s">
        <v>3212</v>
      </c>
      <c r="G156" s="0" t="s">
        <v>3610</v>
      </c>
    </row>
    <row customHeight="1" ht="11.25">
      <c r="A157" s="0" t="s">
        <v>16</v>
      </c>
      <c r="B157" s="0" t="s">
        <v>3603</v>
      </c>
      <c r="C157" s="0" t="s">
        <v>3604</v>
      </c>
      <c r="D157" s="0" t="s">
        <v>3611</v>
      </c>
      <c r="E157" s="0" t="s">
        <v>3612</v>
      </c>
      <c r="F157" s="0" t="s">
        <v>3212</v>
      </c>
      <c r="G157" s="0" t="s">
        <v>3613</v>
      </c>
    </row>
    <row customHeight="1" ht="11.25">
      <c r="A158" s="0" t="s">
        <v>16</v>
      </c>
      <c r="B158" s="0" t="s">
        <v>3603</v>
      </c>
      <c r="C158" s="0" t="s">
        <v>3604</v>
      </c>
      <c r="D158" s="0" t="s">
        <v>3614</v>
      </c>
      <c r="E158" s="0" t="s">
        <v>3615</v>
      </c>
      <c r="F158" s="0" t="s">
        <v>3212</v>
      </c>
      <c r="G158" s="0" t="s">
        <v>3616</v>
      </c>
    </row>
    <row customHeight="1" ht="11.25">
      <c r="A159" s="0" t="s">
        <v>16</v>
      </c>
      <c r="B159" s="0" t="s">
        <v>3603</v>
      </c>
      <c r="C159" s="0" t="s">
        <v>3604</v>
      </c>
      <c r="D159" s="0" t="s">
        <v>3617</v>
      </c>
      <c r="E159" s="0" t="s">
        <v>3618</v>
      </c>
      <c r="F159" s="0" t="s">
        <v>3212</v>
      </c>
      <c r="G159" s="0" t="s">
        <v>3619</v>
      </c>
    </row>
    <row customHeight="1" ht="11.25">
      <c r="A160" s="0" t="s">
        <v>16</v>
      </c>
      <c r="B160" s="0" t="s">
        <v>3603</v>
      </c>
      <c r="C160" s="0" t="s">
        <v>3604</v>
      </c>
      <c r="D160" s="0" t="s">
        <v>3620</v>
      </c>
      <c r="E160" s="0" t="s">
        <v>3621</v>
      </c>
      <c r="F160" s="0" t="s">
        <v>3212</v>
      </c>
      <c r="G160" s="0" t="s">
        <v>3622</v>
      </c>
    </row>
    <row customHeight="1" ht="11.25">
      <c r="A161" s="0" t="s">
        <v>16</v>
      </c>
      <c r="B161" s="0" t="s">
        <v>3603</v>
      </c>
      <c r="C161" s="0" t="s">
        <v>3604</v>
      </c>
      <c r="D161" s="0" t="s">
        <v>3603</v>
      </c>
      <c r="E161" s="0" t="s">
        <v>3604</v>
      </c>
      <c r="F161" s="0" t="s">
        <v>3209</v>
      </c>
      <c r="G161" s="0" t="s">
        <v>3623</v>
      </c>
    </row>
    <row customHeight="1" ht="11.25">
      <c r="A162" s="0" t="s">
        <v>16</v>
      </c>
      <c r="B162" s="0" t="s">
        <v>3603</v>
      </c>
      <c r="C162" s="0" t="s">
        <v>3604</v>
      </c>
      <c r="D162" s="0" t="s">
        <v>3624</v>
      </c>
      <c r="E162" s="0" t="s">
        <v>3625</v>
      </c>
      <c r="F162" s="0" t="s">
        <v>3212</v>
      </c>
      <c r="G162" s="0" t="s">
        <v>3626</v>
      </c>
    </row>
    <row customHeight="1" ht="11.25">
      <c r="A163" s="0" t="s">
        <v>16</v>
      </c>
      <c r="B163" s="0" t="s">
        <v>3603</v>
      </c>
      <c r="C163" s="0" t="s">
        <v>3604</v>
      </c>
      <c r="D163" s="0" t="s">
        <v>3627</v>
      </c>
      <c r="E163" s="0" t="s">
        <v>3628</v>
      </c>
      <c r="F163" s="0" t="s">
        <v>3212</v>
      </c>
      <c r="G163" s="0" t="s">
        <v>3629</v>
      </c>
    </row>
    <row customHeight="1" ht="11.25">
      <c r="A164" s="0" t="s">
        <v>16</v>
      </c>
      <c r="B164" s="0" t="s">
        <v>3603</v>
      </c>
      <c r="C164" s="0" t="s">
        <v>3604</v>
      </c>
      <c r="D164" s="0" t="s">
        <v>3630</v>
      </c>
      <c r="E164" s="0" t="s">
        <v>3631</v>
      </c>
      <c r="F164" s="0" t="s">
        <v>3212</v>
      </c>
      <c r="G164" s="0" t="s">
        <v>3632</v>
      </c>
    </row>
    <row customHeight="1" ht="11.25">
      <c r="A165" s="0" t="s">
        <v>16</v>
      </c>
      <c r="B165" s="0" t="s">
        <v>3603</v>
      </c>
      <c r="C165" s="0" t="s">
        <v>3604</v>
      </c>
      <c r="D165" s="0" t="s">
        <v>3295</v>
      </c>
      <c r="E165" s="0" t="s">
        <v>3633</v>
      </c>
      <c r="F165" s="0" t="s">
        <v>3212</v>
      </c>
      <c r="G165" s="0" t="s">
        <v>3634</v>
      </c>
    </row>
    <row customHeight="1" ht="11.25">
      <c r="A166" s="0" t="s">
        <v>16</v>
      </c>
      <c r="B166" s="0" t="s">
        <v>3603</v>
      </c>
      <c r="C166" s="0" t="s">
        <v>3604</v>
      </c>
      <c r="D166" s="0" t="s">
        <v>3635</v>
      </c>
      <c r="E166" s="0" t="s">
        <v>3636</v>
      </c>
      <c r="F166" s="0" t="s">
        <v>3212</v>
      </c>
      <c r="G166" s="0" t="s">
        <v>3637</v>
      </c>
    </row>
    <row customHeight="1" ht="11.25">
      <c r="A167" s="0" t="s">
        <v>16</v>
      </c>
      <c r="B167" s="0" t="s">
        <v>3603</v>
      </c>
      <c r="C167" s="0" t="s">
        <v>3604</v>
      </c>
      <c r="D167" s="0" t="s">
        <v>3638</v>
      </c>
      <c r="E167" s="0" t="s">
        <v>3639</v>
      </c>
      <c r="F167" s="0" t="s">
        <v>3212</v>
      </c>
      <c r="G167" s="0" t="s">
        <v>3640</v>
      </c>
    </row>
    <row customHeight="1" ht="11.25">
      <c r="A168" s="0" t="s">
        <v>16</v>
      </c>
      <c r="B168" s="0" t="s">
        <v>3641</v>
      </c>
      <c r="C168" s="0" t="s">
        <v>3642</v>
      </c>
      <c r="D168" s="0" t="s">
        <v>3643</v>
      </c>
      <c r="E168" s="0" t="s">
        <v>3644</v>
      </c>
      <c r="F168" s="0" t="s">
        <v>3254</v>
      </c>
      <c r="G168" s="0" t="s">
        <v>3645</v>
      </c>
    </row>
    <row customHeight="1" ht="11.25">
      <c r="A169" s="0" t="s">
        <v>16</v>
      </c>
      <c r="B169" s="0" t="s">
        <v>3641</v>
      </c>
      <c r="C169" s="0" t="s">
        <v>3642</v>
      </c>
      <c r="D169" s="0" t="s">
        <v>3641</v>
      </c>
      <c r="E169" s="0" t="s">
        <v>3642</v>
      </c>
      <c r="F169" s="0" t="s">
        <v>3209</v>
      </c>
      <c r="G169" s="0" t="s">
        <v>3646</v>
      </c>
    </row>
    <row customHeight="1" ht="11.25">
      <c r="A170" s="0" t="s">
        <v>16</v>
      </c>
      <c r="B170" s="0" t="s">
        <v>3641</v>
      </c>
      <c r="C170" s="0" t="s">
        <v>3642</v>
      </c>
      <c r="D170" s="0" t="s">
        <v>3647</v>
      </c>
      <c r="E170" s="0" t="s">
        <v>3648</v>
      </c>
      <c r="F170" s="0" t="s">
        <v>3212</v>
      </c>
      <c r="G170" s="0" t="s">
        <v>3649</v>
      </c>
    </row>
    <row customHeight="1" ht="11.25">
      <c r="A171" s="0" t="s">
        <v>16</v>
      </c>
      <c r="B171" s="0" t="s">
        <v>3650</v>
      </c>
      <c r="C171" s="0" t="s">
        <v>3651</v>
      </c>
      <c r="D171" s="0" t="s">
        <v>3652</v>
      </c>
      <c r="E171" s="0" t="s">
        <v>3653</v>
      </c>
      <c r="F171" s="0" t="s">
        <v>3212</v>
      </c>
      <c r="G171" s="0" t="s">
        <v>3654</v>
      </c>
    </row>
    <row customHeight="1" ht="11.25">
      <c r="A172" s="0" t="s">
        <v>16</v>
      </c>
      <c r="B172" s="0" t="s">
        <v>3650</v>
      </c>
      <c r="C172" s="0" t="s">
        <v>3651</v>
      </c>
      <c r="D172" s="0" t="s">
        <v>3655</v>
      </c>
      <c r="E172" s="0" t="s">
        <v>3656</v>
      </c>
      <c r="F172" s="0" t="s">
        <v>3212</v>
      </c>
      <c r="G172" s="0" t="s">
        <v>3657</v>
      </c>
    </row>
    <row customHeight="1" ht="11.25">
      <c r="A173" s="0" t="s">
        <v>16</v>
      </c>
      <c r="B173" s="0" t="s">
        <v>3650</v>
      </c>
      <c r="C173" s="0" t="s">
        <v>3651</v>
      </c>
      <c r="D173" s="0" t="s">
        <v>3658</v>
      </c>
      <c r="E173" s="0" t="s">
        <v>3659</v>
      </c>
      <c r="F173" s="0" t="s">
        <v>3212</v>
      </c>
      <c r="G173" s="0" t="s">
        <v>3660</v>
      </c>
    </row>
    <row customHeight="1" ht="11.25">
      <c r="A174" s="0" t="s">
        <v>16</v>
      </c>
      <c r="B174" s="0" t="s">
        <v>3650</v>
      </c>
      <c r="C174" s="0" t="s">
        <v>3651</v>
      </c>
      <c r="D174" s="0" t="s">
        <v>3661</v>
      </c>
      <c r="E174" s="0" t="s">
        <v>3662</v>
      </c>
      <c r="F174" s="0" t="s">
        <v>3212</v>
      </c>
      <c r="G174" s="0" t="s">
        <v>3663</v>
      </c>
    </row>
    <row customHeight="1" ht="11.25">
      <c r="A175" s="0" t="s">
        <v>16</v>
      </c>
      <c r="B175" s="0" t="s">
        <v>3650</v>
      </c>
      <c r="C175" s="0" t="s">
        <v>3651</v>
      </c>
      <c r="D175" s="0" t="s">
        <v>3664</v>
      </c>
      <c r="E175" s="0" t="s">
        <v>3665</v>
      </c>
      <c r="F175" s="0" t="s">
        <v>3212</v>
      </c>
      <c r="G175" s="0" t="s">
        <v>3666</v>
      </c>
    </row>
    <row customHeight="1" ht="11.25">
      <c r="A176" s="0" t="s">
        <v>16</v>
      </c>
      <c r="B176" s="0" t="s">
        <v>3650</v>
      </c>
      <c r="C176" s="0" t="s">
        <v>3651</v>
      </c>
      <c r="D176" s="0" t="s">
        <v>3650</v>
      </c>
      <c r="E176" s="0" t="s">
        <v>3651</v>
      </c>
      <c r="F176" s="0" t="s">
        <v>3209</v>
      </c>
      <c r="G176" s="0" t="s">
        <v>3667</v>
      </c>
    </row>
    <row customHeight="1" ht="11.25">
      <c r="A177" s="0" t="s">
        <v>16</v>
      </c>
      <c r="B177" s="0" t="s">
        <v>3650</v>
      </c>
      <c r="C177" s="0" t="s">
        <v>3651</v>
      </c>
      <c r="D177" s="0" t="s">
        <v>3668</v>
      </c>
      <c r="E177" s="0" t="s">
        <v>3669</v>
      </c>
      <c r="F177" s="0" t="s">
        <v>3254</v>
      </c>
      <c r="G177" s="0" t="s">
        <v>3670</v>
      </c>
    </row>
    <row customHeight="1" ht="11.25">
      <c r="A178" s="0" t="s">
        <v>16</v>
      </c>
      <c r="B178" s="0" t="s">
        <v>3650</v>
      </c>
      <c r="C178" s="0" t="s">
        <v>3651</v>
      </c>
      <c r="D178" s="0" t="s">
        <v>3671</v>
      </c>
      <c r="E178" s="0" t="s">
        <v>3672</v>
      </c>
      <c r="F178" s="0" t="s">
        <v>3212</v>
      </c>
      <c r="G178" s="0" t="s">
        <v>3673</v>
      </c>
    </row>
    <row customHeight="1" ht="11.25">
      <c r="A179" s="0" t="s">
        <v>16</v>
      </c>
      <c r="B179" s="0" t="s">
        <v>3650</v>
      </c>
      <c r="C179" s="0" t="s">
        <v>3651</v>
      </c>
      <c r="D179" s="0" t="s">
        <v>3293</v>
      </c>
      <c r="E179" s="0" t="s">
        <v>3674</v>
      </c>
      <c r="F179" s="0" t="s">
        <v>3212</v>
      </c>
      <c r="G179" s="0" t="s">
        <v>3675</v>
      </c>
    </row>
    <row customHeight="1" ht="11.25">
      <c r="A180" s="0" t="s">
        <v>16</v>
      </c>
      <c r="B180" s="0" t="s">
        <v>3650</v>
      </c>
      <c r="C180" s="0" t="s">
        <v>3651</v>
      </c>
      <c r="D180" s="0" t="s">
        <v>3676</v>
      </c>
      <c r="E180" s="0" t="s">
        <v>3677</v>
      </c>
      <c r="F180" s="0" t="s">
        <v>3212</v>
      </c>
      <c r="G180" s="0" t="s">
        <v>3678</v>
      </c>
    </row>
    <row customHeight="1" ht="11.25">
      <c r="A181" s="0" t="s">
        <v>16</v>
      </c>
      <c r="B181" s="0" t="s">
        <v>3650</v>
      </c>
      <c r="C181" s="0" t="s">
        <v>3651</v>
      </c>
      <c r="D181" s="0" t="s">
        <v>3679</v>
      </c>
      <c r="E181" s="0" t="s">
        <v>3680</v>
      </c>
      <c r="F181" s="0" t="s">
        <v>3212</v>
      </c>
      <c r="G181" s="0" t="s">
        <v>3681</v>
      </c>
    </row>
    <row customHeight="1" ht="11.25">
      <c r="A182" s="0" t="s">
        <v>16</v>
      </c>
      <c r="B182" s="0" t="s">
        <v>3682</v>
      </c>
      <c r="C182" s="0" t="s">
        <v>3683</v>
      </c>
      <c r="D182" s="0" t="s">
        <v>3684</v>
      </c>
      <c r="E182" s="0" t="s">
        <v>3685</v>
      </c>
      <c r="F182" s="0" t="s">
        <v>3221</v>
      </c>
      <c r="G182" s="0" t="s">
        <v>3686</v>
      </c>
    </row>
    <row customHeight="1" ht="11.25">
      <c r="A183" s="0" t="s">
        <v>16</v>
      </c>
      <c r="B183" s="0" t="s">
        <v>3682</v>
      </c>
      <c r="C183" s="0" t="s">
        <v>3683</v>
      </c>
      <c r="D183" s="0" t="s">
        <v>3687</v>
      </c>
      <c r="E183" s="0" t="s">
        <v>3688</v>
      </c>
      <c r="F183" s="0" t="s">
        <v>3212</v>
      </c>
      <c r="G183" s="0" t="s">
        <v>3689</v>
      </c>
    </row>
    <row customHeight="1" ht="11.25">
      <c r="A184" s="0" t="s">
        <v>16</v>
      </c>
      <c r="B184" s="0" t="s">
        <v>3682</v>
      </c>
      <c r="C184" s="0" t="s">
        <v>3683</v>
      </c>
      <c r="D184" s="0" t="s">
        <v>3690</v>
      </c>
      <c r="E184" s="0" t="s">
        <v>3691</v>
      </c>
      <c r="F184" s="0" t="s">
        <v>3212</v>
      </c>
      <c r="G184" s="0" t="s">
        <v>3692</v>
      </c>
    </row>
    <row customHeight="1" ht="11.25">
      <c r="A185" s="0" t="s">
        <v>16</v>
      </c>
      <c r="B185" s="0" t="s">
        <v>3682</v>
      </c>
      <c r="C185" s="0" t="s">
        <v>3683</v>
      </c>
      <c r="D185" s="0" t="s">
        <v>3257</v>
      </c>
      <c r="E185" s="0" t="s">
        <v>3693</v>
      </c>
      <c r="F185" s="0" t="s">
        <v>3212</v>
      </c>
      <c r="G185" s="0" t="s">
        <v>3694</v>
      </c>
    </row>
    <row customHeight="1" ht="11.25">
      <c r="A186" s="0" t="s">
        <v>16</v>
      </c>
      <c r="B186" s="0" t="s">
        <v>3682</v>
      </c>
      <c r="C186" s="0" t="s">
        <v>3683</v>
      </c>
      <c r="D186" s="0" t="s">
        <v>3682</v>
      </c>
      <c r="E186" s="0" t="s">
        <v>3683</v>
      </c>
      <c r="F186" s="0" t="s">
        <v>3209</v>
      </c>
      <c r="G186" s="0" t="s">
        <v>3695</v>
      </c>
    </row>
    <row customHeight="1" ht="11.25">
      <c r="A187" s="0" t="s">
        <v>16</v>
      </c>
      <c r="B187" s="0" t="s">
        <v>3682</v>
      </c>
      <c r="C187" s="0" t="s">
        <v>3683</v>
      </c>
      <c r="D187" s="0" t="s">
        <v>3696</v>
      </c>
      <c r="E187" s="0" t="s">
        <v>3697</v>
      </c>
      <c r="F187" s="0" t="s">
        <v>3212</v>
      </c>
      <c r="G187" s="0" t="s">
        <v>3698</v>
      </c>
    </row>
    <row customHeight="1" ht="11.25">
      <c r="A188" s="0" t="s">
        <v>16</v>
      </c>
      <c r="B188" s="0" t="s">
        <v>3682</v>
      </c>
      <c r="C188" s="0" t="s">
        <v>3683</v>
      </c>
      <c r="D188" s="0" t="s">
        <v>3699</v>
      </c>
      <c r="E188" s="0" t="s">
        <v>3700</v>
      </c>
      <c r="F188" s="0" t="s">
        <v>3212</v>
      </c>
      <c r="G188" s="0" t="s">
        <v>3701</v>
      </c>
    </row>
    <row customHeight="1" ht="11.25">
      <c r="A189" s="0" t="s">
        <v>16</v>
      </c>
      <c r="B189" s="0" t="s">
        <v>3682</v>
      </c>
      <c r="C189" s="0" t="s">
        <v>3683</v>
      </c>
      <c r="D189" s="0" t="s">
        <v>3702</v>
      </c>
      <c r="E189" s="0" t="s">
        <v>3703</v>
      </c>
      <c r="F189" s="0" t="s">
        <v>3212</v>
      </c>
      <c r="G189" s="0" t="s">
        <v>3704</v>
      </c>
    </row>
    <row customHeight="1" ht="11.25">
      <c r="A190" s="0" t="s">
        <v>16</v>
      </c>
      <c r="B190" s="0" t="s">
        <v>3705</v>
      </c>
      <c r="C190" s="0" t="s">
        <v>3706</v>
      </c>
      <c r="D190" s="0" t="s">
        <v>3707</v>
      </c>
      <c r="E190" s="0" t="s">
        <v>3708</v>
      </c>
      <c r="F190" s="0" t="s">
        <v>3212</v>
      </c>
      <c r="G190" s="0" t="s">
        <v>3709</v>
      </c>
    </row>
    <row customHeight="1" ht="11.25">
      <c r="A191" s="0" t="s">
        <v>16</v>
      </c>
      <c r="B191" s="0" t="s">
        <v>3705</v>
      </c>
      <c r="C191" s="0" t="s">
        <v>3706</v>
      </c>
      <c r="D191" s="0" t="s">
        <v>3705</v>
      </c>
      <c r="E191" s="0" t="s">
        <v>3706</v>
      </c>
      <c r="F191" s="0" t="s">
        <v>3209</v>
      </c>
      <c r="G191" s="0" t="s">
        <v>3710</v>
      </c>
    </row>
    <row customHeight="1" ht="11.25">
      <c r="A192" s="0" t="s">
        <v>16</v>
      </c>
      <c r="B192" s="0" t="s">
        <v>3705</v>
      </c>
      <c r="C192" s="0" t="s">
        <v>3706</v>
      </c>
      <c r="D192" s="0" t="s">
        <v>3711</v>
      </c>
      <c r="E192" s="0" t="s">
        <v>3712</v>
      </c>
      <c r="F192" s="0" t="s">
        <v>3254</v>
      </c>
      <c r="G192" s="0" t="s">
        <v>3713</v>
      </c>
    </row>
    <row customHeight="1" ht="11.25">
      <c r="A193" s="0" t="s">
        <v>16</v>
      </c>
      <c r="B193" s="0" t="s">
        <v>3705</v>
      </c>
      <c r="C193" s="0" t="s">
        <v>3706</v>
      </c>
      <c r="D193" s="0" t="s">
        <v>3714</v>
      </c>
      <c r="E193" s="0" t="s">
        <v>3715</v>
      </c>
      <c r="F193" s="0" t="s">
        <v>3212</v>
      </c>
      <c r="G193" s="0" t="s">
        <v>3716</v>
      </c>
    </row>
    <row customHeight="1" ht="11.25">
      <c r="A194" s="0" t="s">
        <v>16</v>
      </c>
      <c r="B194" s="0" t="s">
        <v>3717</v>
      </c>
      <c r="C194" s="0" t="s">
        <v>3718</v>
      </c>
      <c r="D194" s="0" t="s">
        <v>3719</v>
      </c>
      <c r="E194" s="0" t="s">
        <v>3720</v>
      </c>
      <c r="F194" s="0" t="s">
        <v>3212</v>
      </c>
      <c r="G194" s="0" t="s">
        <v>3721</v>
      </c>
    </row>
    <row customHeight="1" ht="11.25">
      <c r="A195" s="0" t="s">
        <v>16</v>
      </c>
      <c r="B195" s="0" t="s">
        <v>3717</v>
      </c>
      <c r="C195" s="0" t="s">
        <v>3718</v>
      </c>
      <c r="D195" s="0" t="s">
        <v>3722</v>
      </c>
      <c r="E195" s="0" t="s">
        <v>3723</v>
      </c>
      <c r="F195" s="0" t="s">
        <v>3212</v>
      </c>
      <c r="G195" s="0" t="s">
        <v>3724</v>
      </c>
    </row>
    <row customHeight="1" ht="11.25">
      <c r="A196" s="0" t="s">
        <v>16</v>
      </c>
      <c r="B196" s="0" t="s">
        <v>3717</v>
      </c>
      <c r="C196" s="0" t="s">
        <v>3718</v>
      </c>
      <c r="D196" s="0" t="s">
        <v>3725</v>
      </c>
      <c r="E196" s="0" t="s">
        <v>3726</v>
      </c>
      <c r="F196" s="0" t="s">
        <v>3221</v>
      </c>
      <c r="G196" s="0" t="s">
        <v>3727</v>
      </c>
    </row>
    <row customHeight="1" ht="11.25">
      <c r="A197" s="0" t="s">
        <v>16</v>
      </c>
      <c r="B197" s="0" t="s">
        <v>3717</v>
      </c>
      <c r="C197" s="0" t="s">
        <v>3718</v>
      </c>
      <c r="D197" s="0" t="s">
        <v>3728</v>
      </c>
      <c r="E197" s="0" t="s">
        <v>3729</v>
      </c>
      <c r="F197" s="0" t="s">
        <v>3212</v>
      </c>
      <c r="G197" s="0" t="s">
        <v>3730</v>
      </c>
    </row>
    <row customHeight="1" ht="11.25">
      <c r="A198" s="0" t="s">
        <v>16</v>
      </c>
      <c r="B198" s="0" t="s">
        <v>3717</v>
      </c>
      <c r="C198" s="0" t="s">
        <v>3718</v>
      </c>
      <c r="D198" s="0" t="s">
        <v>3421</v>
      </c>
      <c r="E198" s="0" t="s">
        <v>3731</v>
      </c>
      <c r="F198" s="0" t="s">
        <v>3212</v>
      </c>
      <c r="G198" s="0" t="s">
        <v>3732</v>
      </c>
    </row>
    <row customHeight="1" ht="11.25">
      <c r="A199" s="0" t="s">
        <v>16</v>
      </c>
      <c r="B199" s="0" t="s">
        <v>3717</v>
      </c>
      <c r="C199" s="0" t="s">
        <v>3718</v>
      </c>
      <c r="D199" s="0" t="s">
        <v>3733</v>
      </c>
      <c r="E199" s="0" t="s">
        <v>3734</v>
      </c>
      <c r="F199" s="0" t="s">
        <v>3212</v>
      </c>
      <c r="G199" s="0" t="s">
        <v>3735</v>
      </c>
    </row>
    <row customHeight="1" ht="11.25">
      <c r="A200" s="0" t="s">
        <v>16</v>
      </c>
      <c r="B200" s="0" t="s">
        <v>3717</v>
      </c>
      <c r="C200" s="0" t="s">
        <v>3718</v>
      </c>
      <c r="D200" s="0" t="s">
        <v>3340</v>
      </c>
      <c r="E200" s="0" t="s">
        <v>3736</v>
      </c>
      <c r="F200" s="0" t="s">
        <v>3212</v>
      </c>
      <c r="G200" s="0" t="s">
        <v>3737</v>
      </c>
    </row>
    <row customHeight="1" ht="11.25">
      <c r="A201" s="0" t="s">
        <v>16</v>
      </c>
      <c r="B201" s="0" t="s">
        <v>3717</v>
      </c>
      <c r="C201" s="0" t="s">
        <v>3718</v>
      </c>
      <c r="D201" s="0" t="s">
        <v>3717</v>
      </c>
      <c r="E201" s="0" t="s">
        <v>3718</v>
      </c>
      <c r="F201" s="0" t="s">
        <v>3209</v>
      </c>
      <c r="G201" s="0" t="s">
        <v>3738</v>
      </c>
    </row>
    <row customHeight="1" ht="11.25">
      <c r="A202" s="0" t="s">
        <v>16</v>
      </c>
      <c r="B202" s="0" t="s">
        <v>3717</v>
      </c>
      <c r="C202" s="0" t="s">
        <v>3718</v>
      </c>
      <c r="D202" s="0" t="s">
        <v>3739</v>
      </c>
      <c r="E202" s="0" t="s">
        <v>3740</v>
      </c>
      <c r="F202" s="0" t="s">
        <v>3212</v>
      </c>
      <c r="G202" s="0" t="s">
        <v>3741</v>
      </c>
    </row>
    <row customHeight="1" ht="11.25">
      <c r="A203" s="0" t="s">
        <v>16</v>
      </c>
      <c r="B203" s="0" t="s">
        <v>3717</v>
      </c>
      <c r="C203" s="0" t="s">
        <v>3718</v>
      </c>
      <c r="D203" s="0" t="s">
        <v>3742</v>
      </c>
      <c r="E203" s="0" t="s">
        <v>3743</v>
      </c>
      <c r="F203" s="0" t="s">
        <v>3212</v>
      </c>
      <c r="G203" s="0" t="s">
        <v>3744</v>
      </c>
    </row>
    <row customHeight="1" ht="11.25">
      <c r="A204" s="0" t="s">
        <v>16</v>
      </c>
      <c r="B204" s="0" t="s">
        <v>3717</v>
      </c>
      <c r="C204" s="0" t="s">
        <v>3718</v>
      </c>
      <c r="D204" s="0" t="s">
        <v>3745</v>
      </c>
      <c r="E204" s="0" t="s">
        <v>3746</v>
      </c>
      <c r="F204" s="0" t="s">
        <v>3212</v>
      </c>
      <c r="G204" s="0" t="s">
        <v>3747</v>
      </c>
    </row>
    <row customHeight="1" ht="11.25">
      <c r="A205" s="0" t="s">
        <v>16</v>
      </c>
      <c r="B205" s="0" t="s">
        <v>3717</v>
      </c>
      <c r="C205" s="0" t="s">
        <v>3718</v>
      </c>
      <c r="D205" s="0" t="s">
        <v>3748</v>
      </c>
      <c r="E205" s="0" t="s">
        <v>3749</v>
      </c>
      <c r="F205" s="0" t="s">
        <v>3212</v>
      </c>
      <c r="G205" s="0" t="s">
        <v>3750</v>
      </c>
    </row>
    <row customHeight="1" ht="11.25">
      <c r="A206" s="0" t="s">
        <v>16</v>
      </c>
      <c r="B206" s="0" t="s">
        <v>3751</v>
      </c>
      <c r="C206" s="0" t="s">
        <v>3752</v>
      </c>
      <c r="D206" s="0" t="s">
        <v>3753</v>
      </c>
      <c r="E206" s="0" t="s">
        <v>3754</v>
      </c>
      <c r="F206" s="0" t="s">
        <v>3212</v>
      </c>
      <c r="G206" s="0" t="s">
        <v>3755</v>
      </c>
    </row>
    <row customHeight="1" ht="11.25">
      <c r="A207" s="0" t="s">
        <v>16</v>
      </c>
      <c r="B207" s="0" t="s">
        <v>3751</v>
      </c>
      <c r="C207" s="0" t="s">
        <v>3752</v>
      </c>
      <c r="D207" s="0" t="s">
        <v>3756</v>
      </c>
      <c r="E207" s="0" t="s">
        <v>3757</v>
      </c>
      <c r="F207" s="0" t="s">
        <v>3212</v>
      </c>
      <c r="G207" s="0" t="s">
        <v>3758</v>
      </c>
    </row>
    <row customHeight="1" ht="11.25">
      <c r="A208" s="0" t="s">
        <v>16</v>
      </c>
      <c r="B208" s="0" t="s">
        <v>3751</v>
      </c>
      <c r="C208" s="0" t="s">
        <v>3752</v>
      </c>
      <c r="D208" s="0" t="s">
        <v>3759</v>
      </c>
      <c r="E208" s="0" t="s">
        <v>3760</v>
      </c>
      <c r="F208" s="0" t="s">
        <v>3212</v>
      </c>
      <c r="G208" s="0" t="s">
        <v>3761</v>
      </c>
    </row>
    <row customHeight="1" ht="11.25">
      <c r="A209" s="0" t="s">
        <v>16</v>
      </c>
      <c r="B209" s="0" t="s">
        <v>3751</v>
      </c>
      <c r="C209" s="0" t="s">
        <v>3752</v>
      </c>
      <c r="D209" s="0" t="s">
        <v>3257</v>
      </c>
      <c r="E209" s="0" t="s">
        <v>3762</v>
      </c>
      <c r="F209" s="0" t="s">
        <v>3212</v>
      </c>
      <c r="G209" s="0" t="s">
        <v>3763</v>
      </c>
    </row>
    <row customHeight="1" ht="11.25">
      <c r="A210" s="0" t="s">
        <v>16</v>
      </c>
      <c r="B210" s="0" t="s">
        <v>3751</v>
      </c>
      <c r="C210" s="0" t="s">
        <v>3752</v>
      </c>
      <c r="D210" s="0" t="s">
        <v>3549</v>
      </c>
      <c r="E210" s="0" t="s">
        <v>3764</v>
      </c>
      <c r="F210" s="0" t="s">
        <v>3212</v>
      </c>
      <c r="G210" s="0" t="s">
        <v>3765</v>
      </c>
    </row>
    <row customHeight="1" ht="11.25">
      <c r="A211" s="0" t="s">
        <v>16</v>
      </c>
      <c r="B211" s="0" t="s">
        <v>3751</v>
      </c>
      <c r="C211" s="0" t="s">
        <v>3752</v>
      </c>
      <c r="D211" s="0" t="s">
        <v>3751</v>
      </c>
      <c r="E211" s="0" t="s">
        <v>3752</v>
      </c>
      <c r="F211" s="0" t="s">
        <v>3209</v>
      </c>
      <c r="G211" s="0" t="s">
        <v>3766</v>
      </c>
    </row>
    <row customHeight="1" ht="11.25">
      <c r="A212" s="0" t="s">
        <v>16</v>
      </c>
      <c r="B212" s="0" t="s">
        <v>3751</v>
      </c>
      <c r="C212" s="0" t="s">
        <v>3752</v>
      </c>
      <c r="D212" s="0" t="s">
        <v>3767</v>
      </c>
      <c r="E212" s="0" t="s">
        <v>3768</v>
      </c>
      <c r="F212" s="0" t="s">
        <v>3254</v>
      </c>
      <c r="G212" s="0" t="s">
        <v>3769</v>
      </c>
    </row>
    <row customHeight="1" ht="11.25">
      <c r="A213" s="0" t="s">
        <v>16</v>
      </c>
      <c r="B213" s="0" t="s">
        <v>3751</v>
      </c>
      <c r="C213" s="0" t="s">
        <v>3752</v>
      </c>
      <c r="D213" s="0" t="s">
        <v>3770</v>
      </c>
      <c r="E213" s="0" t="s">
        <v>3771</v>
      </c>
      <c r="F213" s="0" t="s">
        <v>3212</v>
      </c>
      <c r="G213" s="0" t="s">
        <v>3772</v>
      </c>
    </row>
    <row customHeight="1" ht="11.25">
      <c r="A214" s="0" t="s">
        <v>16</v>
      </c>
      <c r="B214" s="0" t="s">
        <v>3751</v>
      </c>
      <c r="C214" s="0" t="s">
        <v>3752</v>
      </c>
      <c r="D214" s="0" t="s">
        <v>3773</v>
      </c>
      <c r="E214" s="0" t="s">
        <v>3774</v>
      </c>
      <c r="F214" s="0" t="s">
        <v>3212</v>
      </c>
      <c r="G214" s="0" t="s">
        <v>3775</v>
      </c>
    </row>
    <row customHeight="1" ht="11.25">
      <c r="A215" s="0" t="s">
        <v>16</v>
      </c>
      <c r="B215" s="0" t="s">
        <v>3751</v>
      </c>
      <c r="C215" s="0" t="s">
        <v>3752</v>
      </c>
      <c r="D215" s="0" t="s">
        <v>3776</v>
      </c>
      <c r="E215" s="0" t="s">
        <v>3777</v>
      </c>
      <c r="F215" s="0" t="s">
        <v>3212</v>
      </c>
      <c r="G215" s="0" t="s">
        <v>3778</v>
      </c>
    </row>
    <row customHeight="1" ht="11.25">
      <c r="A216" s="0" t="s">
        <v>16</v>
      </c>
      <c r="B216" s="0" t="s">
        <v>3751</v>
      </c>
      <c r="C216" s="0" t="s">
        <v>3752</v>
      </c>
      <c r="D216" s="0" t="s">
        <v>3779</v>
      </c>
      <c r="E216" s="0" t="s">
        <v>3780</v>
      </c>
      <c r="F216" s="0" t="s">
        <v>3212</v>
      </c>
      <c r="G216" s="0" t="s">
        <v>3781</v>
      </c>
    </row>
    <row customHeight="1" ht="11.25">
      <c r="A217" s="0" t="s">
        <v>16</v>
      </c>
      <c r="B217" s="0" t="s">
        <v>3751</v>
      </c>
      <c r="C217" s="0" t="s">
        <v>3752</v>
      </c>
      <c r="D217" s="0" t="s">
        <v>3782</v>
      </c>
      <c r="E217" s="0" t="s">
        <v>3783</v>
      </c>
      <c r="F217" s="0" t="s">
        <v>3212</v>
      </c>
      <c r="G217" s="0" t="s">
        <v>3784</v>
      </c>
    </row>
    <row customHeight="1" ht="11.25">
      <c r="A218" s="0" t="s">
        <v>16</v>
      </c>
      <c r="B218" s="0" t="s">
        <v>3785</v>
      </c>
      <c r="C218" s="0" t="s">
        <v>3786</v>
      </c>
      <c r="D218" s="0" t="s">
        <v>3787</v>
      </c>
      <c r="E218" s="0" t="s">
        <v>3788</v>
      </c>
      <c r="F218" s="0" t="s">
        <v>3212</v>
      </c>
      <c r="G218" s="0" t="s">
        <v>3789</v>
      </c>
    </row>
    <row customHeight="1" ht="11.25">
      <c r="A219" s="0" t="s">
        <v>16</v>
      </c>
      <c r="B219" s="0" t="s">
        <v>3785</v>
      </c>
      <c r="C219" s="0" t="s">
        <v>3786</v>
      </c>
      <c r="D219" s="0" t="s">
        <v>3790</v>
      </c>
      <c r="E219" s="0" t="s">
        <v>3791</v>
      </c>
      <c r="F219" s="0" t="s">
        <v>3212</v>
      </c>
      <c r="G219" s="0" t="s">
        <v>3792</v>
      </c>
    </row>
    <row customHeight="1" ht="11.25">
      <c r="A220" s="0" t="s">
        <v>16</v>
      </c>
      <c r="B220" s="0" t="s">
        <v>3785</v>
      </c>
      <c r="C220" s="0" t="s">
        <v>3786</v>
      </c>
      <c r="D220" s="0" t="s">
        <v>3793</v>
      </c>
      <c r="E220" s="0" t="s">
        <v>3794</v>
      </c>
      <c r="F220" s="0" t="s">
        <v>3212</v>
      </c>
      <c r="G220" s="0" t="s">
        <v>3795</v>
      </c>
    </row>
    <row customHeight="1" ht="11.25">
      <c r="A221" s="0" t="s">
        <v>16</v>
      </c>
      <c r="B221" s="0" t="s">
        <v>3785</v>
      </c>
      <c r="C221" s="0" t="s">
        <v>3786</v>
      </c>
      <c r="D221" s="0" t="s">
        <v>3796</v>
      </c>
      <c r="E221" s="0" t="s">
        <v>3797</v>
      </c>
      <c r="F221" s="0" t="s">
        <v>3212</v>
      </c>
      <c r="G221" s="0" t="s">
        <v>3798</v>
      </c>
    </row>
    <row customHeight="1" ht="11.25">
      <c r="A222" s="0" t="s">
        <v>16</v>
      </c>
      <c r="B222" s="0" t="s">
        <v>3785</v>
      </c>
      <c r="C222" s="0" t="s">
        <v>3786</v>
      </c>
      <c r="D222" s="0" t="s">
        <v>3799</v>
      </c>
      <c r="E222" s="0" t="s">
        <v>3800</v>
      </c>
      <c r="F222" s="0" t="s">
        <v>3212</v>
      </c>
      <c r="G222" s="0" t="s">
        <v>3801</v>
      </c>
    </row>
    <row customHeight="1" ht="11.25">
      <c r="A223" s="0" t="s">
        <v>16</v>
      </c>
      <c r="B223" s="0" t="s">
        <v>3785</v>
      </c>
      <c r="C223" s="0" t="s">
        <v>3786</v>
      </c>
      <c r="D223" s="0" t="s">
        <v>3802</v>
      </c>
      <c r="E223" s="0" t="s">
        <v>3803</v>
      </c>
      <c r="F223" s="0" t="s">
        <v>3212</v>
      </c>
      <c r="G223" s="0" t="s">
        <v>3804</v>
      </c>
    </row>
    <row customHeight="1" ht="11.25">
      <c r="A224" s="0" t="s">
        <v>16</v>
      </c>
      <c r="B224" s="0" t="s">
        <v>3785</v>
      </c>
      <c r="C224" s="0" t="s">
        <v>3786</v>
      </c>
      <c r="D224" s="0" t="s">
        <v>3293</v>
      </c>
      <c r="E224" s="0" t="s">
        <v>3805</v>
      </c>
      <c r="F224" s="0" t="s">
        <v>3212</v>
      </c>
      <c r="G224" s="0" t="s">
        <v>3806</v>
      </c>
    </row>
    <row customHeight="1" ht="11.25">
      <c r="A225" s="0" t="s">
        <v>16</v>
      </c>
      <c r="B225" s="0" t="s">
        <v>3785</v>
      </c>
      <c r="C225" s="0" t="s">
        <v>3786</v>
      </c>
      <c r="D225" s="0" t="s">
        <v>3295</v>
      </c>
      <c r="E225" s="0" t="s">
        <v>3807</v>
      </c>
      <c r="F225" s="0" t="s">
        <v>3212</v>
      </c>
      <c r="G225" s="0" t="s">
        <v>3808</v>
      </c>
    </row>
    <row customHeight="1" ht="11.25">
      <c r="A226" s="0" t="s">
        <v>16</v>
      </c>
      <c r="B226" s="0" t="s">
        <v>3785</v>
      </c>
      <c r="C226" s="0" t="s">
        <v>3786</v>
      </c>
      <c r="D226" s="0" t="s">
        <v>3785</v>
      </c>
      <c r="E226" s="0" t="s">
        <v>3786</v>
      </c>
      <c r="F226" s="0" t="s">
        <v>3209</v>
      </c>
      <c r="G226" s="0" t="s">
        <v>3809</v>
      </c>
    </row>
    <row customHeight="1" ht="11.25">
      <c r="A227" s="0" t="s">
        <v>16</v>
      </c>
      <c r="B227" s="0" t="s">
        <v>3785</v>
      </c>
      <c r="C227" s="0" t="s">
        <v>3786</v>
      </c>
      <c r="D227" s="0" t="s">
        <v>3810</v>
      </c>
      <c r="E227" s="0" t="s">
        <v>3811</v>
      </c>
      <c r="F227" s="0" t="s">
        <v>3212</v>
      </c>
      <c r="G227" s="0" t="s">
        <v>3812</v>
      </c>
    </row>
    <row customHeight="1" ht="11.25">
      <c r="A228" s="0" t="s">
        <v>16</v>
      </c>
      <c r="B228" s="0" t="s">
        <v>3785</v>
      </c>
      <c r="C228" s="0" t="s">
        <v>3786</v>
      </c>
      <c r="D228" s="0" t="s">
        <v>3813</v>
      </c>
      <c r="E228" s="0" t="s">
        <v>3814</v>
      </c>
      <c r="F228" s="0" t="s">
        <v>3212</v>
      </c>
      <c r="G228" s="0" t="s">
        <v>3815</v>
      </c>
    </row>
    <row customHeight="1" ht="11.25">
      <c r="A229" s="0" t="s">
        <v>16</v>
      </c>
      <c r="B229" s="0" t="s">
        <v>3785</v>
      </c>
      <c r="C229" s="0" t="s">
        <v>3786</v>
      </c>
      <c r="D229" s="0" t="s">
        <v>3714</v>
      </c>
      <c r="E229" s="0" t="s">
        <v>3816</v>
      </c>
      <c r="F229" s="0" t="s">
        <v>3212</v>
      </c>
      <c r="G229" s="0" t="s">
        <v>3817</v>
      </c>
    </row>
    <row customHeight="1" ht="11.25">
      <c r="A230" s="0" t="s">
        <v>16</v>
      </c>
      <c r="B230" s="0" t="s">
        <v>3785</v>
      </c>
      <c r="C230" s="0" t="s">
        <v>3786</v>
      </c>
      <c r="D230" s="0" t="s">
        <v>3818</v>
      </c>
      <c r="E230" s="0" t="s">
        <v>3819</v>
      </c>
      <c r="F230" s="0" t="s">
        <v>3212</v>
      </c>
      <c r="G230" s="0" t="s">
        <v>3820</v>
      </c>
    </row>
    <row customHeight="1" ht="11.25">
      <c r="A231" s="0" t="s">
        <v>16</v>
      </c>
      <c r="B231" s="0" t="s">
        <v>3821</v>
      </c>
      <c r="C231" s="0" t="s">
        <v>3822</v>
      </c>
      <c r="D231" s="0" t="s">
        <v>3823</v>
      </c>
      <c r="E231" s="0" t="s">
        <v>3824</v>
      </c>
      <c r="F231" s="0" t="s">
        <v>3212</v>
      </c>
      <c r="G231" s="0" t="s">
        <v>3825</v>
      </c>
    </row>
    <row customHeight="1" ht="11.25">
      <c r="A232" s="0" t="s">
        <v>16</v>
      </c>
      <c r="B232" s="0" t="s">
        <v>3821</v>
      </c>
      <c r="C232" s="0" t="s">
        <v>3822</v>
      </c>
      <c r="D232" s="0" t="s">
        <v>3826</v>
      </c>
      <c r="E232" s="0" t="s">
        <v>3827</v>
      </c>
      <c r="F232" s="0" t="s">
        <v>3221</v>
      </c>
      <c r="G232" s="0" t="s">
        <v>3828</v>
      </c>
    </row>
    <row customHeight="1" ht="11.25">
      <c r="A233" s="0" t="s">
        <v>16</v>
      </c>
      <c r="B233" s="0" t="s">
        <v>3821</v>
      </c>
      <c r="C233" s="0" t="s">
        <v>3822</v>
      </c>
      <c r="D233" s="0" t="s">
        <v>3829</v>
      </c>
      <c r="E233" s="0" t="s">
        <v>3830</v>
      </c>
      <c r="F233" s="0" t="s">
        <v>3212</v>
      </c>
      <c r="G233" s="0" t="s">
        <v>3831</v>
      </c>
    </row>
    <row customHeight="1" ht="11.25">
      <c r="A234" s="0" t="s">
        <v>16</v>
      </c>
      <c r="B234" s="0" t="s">
        <v>3821</v>
      </c>
      <c r="C234" s="0" t="s">
        <v>3822</v>
      </c>
      <c r="D234" s="0" t="s">
        <v>3430</v>
      </c>
      <c r="E234" s="0" t="s">
        <v>3832</v>
      </c>
      <c r="F234" s="0" t="s">
        <v>3212</v>
      </c>
      <c r="G234" s="0" t="s">
        <v>3833</v>
      </c>
    </row>
    <row customHeight="1" ht="11.25">
      <c r="A235" s="0" t="s">
        <v>16</v>
      </c>
      <c r="B235" s="0" t="s">
        <v>3821</v>
      </c>
      <c r="C235" s="0" t="s">
        <v>3822</v>
      </c>
      <c r="D235" s="0" t="s">
        <v>3821</v>
      </c>
      <c r="E235" s="0" t="s">
        <v>3822</v>
      </c>
      <c r="F235" s="0" t="s">
        <v>3209</v>
      </c>
      <c r="G235" s="0" t="s">
        <v>3834</v>
      </c>
    </row>
    <row customHeight="1" ht="11.25">
      <c r="A236" s="0" t="s">
        <v>16</v>
      </c>
      <c r="B236" s="0" t="s">
        <v>3821</v>
      </c>
      <c r="C236" s="0" t="s">
        <v>3822</v>
      </c>
      <c r="D236" s="0" t="s">
        <v>3835</v>
      </c>
      <c r="E236" s="0" t="s">
        <v>3836</v>
      </c>
      <c r="F236" s="0" t="s">
        <v>3212</v>
      </c>
      <c r="G236" s="0" t="s">
        <v>3837</v>
      </c>
    </row>
    <row customHeight="1" ht="11.25">
      <c r="A237" s="0" t="s">
        <v>16</v>
      </c>
      <c r="B237" s="0" t="s">
        <v>3821</v>
      </c>
      <c r="C237" s="0" t="s">
        <v>3822</v>
      </c>
      <c r="D237" s="0" t="s">
        <v>3838</v>
      </c>
      <c r="E237" s="0" t="s">
        <v>3839</v>
      </c>
      <c r="F237" s="0" t="s">
        <v>3212</v>
      </c>
      <c r="G237" s="0" t="s">
        <v>3840</v>
      </c>
    </row>
    <row customHeight="1" ht="11.25">
      <c r="A238" s="0" t="s">
        <v>16</v>
      </c>
      <c r="B238" s="0" t="s">
        <v>3841</v>
      </c>
      <c r="C238" s="0" t="s">
        <v>3842</v>
      </c>
      <c r="D238" s="0" t="s">
        <v>3843</v>
      </c>
      <c r="E238" s="0" t="s">
        <v>3844</v>
      </c>
      <c r="F238" s="0" t="s">
        <v>3212</v>
      </c>
      <c r="G238" s="0" t="s">
        <v>3845</v>
      </c>
    </row>
    <row customHeight="1" ht="11.25">
      <c r="A239" s="0" t="s">
        <v>16</v>
      </c>
      <c r="B239" s="0" t="s">
        <v>3841</v>
      </c>
      <c r="C239" s="0" t="s">
        <v>3842</v>
      </c>
      <c r="D239" s="0" t="s">
        <v>3846</v>
      </c>
      <c r="E239" s="0" t="s">
        <v>3847</v>
      </c>
      <c r="F239" s="0" t="s">
        <v>3212</v>
      </c>
      <c r="G239" s="0" t="s">
        <v>3848</v>
      </c>
    </row>
    <row customHeight="1" ht="11.25">
      <c r="A240" s="0" t="s">
        <v>16</v>
      </c>
      <c r="B240" s="0" t="s">
        <v>3841</v>
      </c>
      <c r="C240" s="0" t="s">
        <v>3842</v>
      </c>
      <c r="D240" s="0" t="s">
        <v>3849</v>
      </c>
      <c r="E240" s="0" t="s">
        <v>3850</v>
      </c>
      <c r="F240" s="0" t="s">
        <v>3212</v>
      </c>
      <c r="G240" s="0" t="s">
        <v>3851</v>
      </c>
    </row>
    <row customHeight="1" ht="11.25">
      <c r="A241" s="0" t="s">
        <v>16</v>
      </c>
      <c r="B241" s="0" t="s">
        <v>3841</v>
      </c>
      <c r="C241" s="0" t="s">
        <v>3842</v>
      </c>
      <c r="D241" s="0" t="s">
        <v>3852</v>
      </c>
      <c r="E241" s="0" t="s">
        <v>3853</v>
      </c>
      <c r="F241" s="0" t="s">
        <v>3212</v>
      </c>
      <c r="G241" s="0" t="s">
        <v>3854</v>
      </c>
    </row>
    <row customHeight="1" ht="11.25">
      <c r="A242" s="0" t="s">
        <v>16</v>
      </c>
      <c r="B242" s="0" t="s">
        <v>3841</v>
      </c>
      <c r="C242" s="0" t="s">
        <v>3842</v>
      </c>
      <c r="D242" s="0" t="s">
        <v>3855</v>
      </c>
      <c r="E242" s="0" t="s">
        <v>3856</v>
      </c>
      <c r="F242" s="0" t="s">
        <v>3212</v>
      </c>
      <c r="G242" s="0" t="s">
        <v>3857</v>
      </c>
    </row>
    <row customHeight="1" ht="11.25">
      <c r="A243" s="0" t="s">
        <v>16</v>
      </c>
      <c r="B243" s="0" t="s">
        <v>3841</v>
      </c>
      <c r="C243" s="0" t="s">
        <v>3842</v>
      </c>
      <c r="D243" s="0" t="s">
        <v>3858</v>
      </c>
      <c r="E243" s="0" t="s">
        <v>3859</v>
      </c>
      <c r="F243" s="0" t="s">
        <v>3212</v>
      </c>
      <c r="G243" s="0" t="s">
        <v>3860</v>
      </c>
    </row>
    <row customHeight="1" ht="11.25">
      <c r="A244" s="0" t="s">
        <v>16</v>
      </c>
      <c r="B244" s="0" t="s">
        <v>3841</v>
      </c>
      <c r="C244" s="0" t="s">
        <v>3842</v>
      </c>
      <c r="D244" s="0" t="s">
        <v>3401</v>
      </c>
      <c r="E244" s="0" t="s">
        <v>3861</v>
      </c>
      <c r="F244" s="0" t="s">
        <v>3212</v>
      </c>
      <c r="G244" s="0" t="s">
        <v>3862</v>
      </c>
    </row>
    <row customHeight="1" ht="11.25">
      <c r="A245" s="0" t="s">
        <v>16</v>
      </c>
      <c r="B245" s="0" t="s">
        <v>3841</v>
      </c>
      <c r="C245" s="0" t="s">
        <v>3842</v>
      </c>
      <c r="D245" s="0" t="s">
        <v>3841</v>
      </c>
      <c r="E245" s="0" t="s">
        <v>3842</v>
      </c>
      <c r="F245" s="0" t="s">
        <v>3209</v>
      </c>
      <c r="G245" s="0" t="s">
        <v>3863</v>
      </c>
    </row>
    <row customHeight="1" ht="11.25">
      <c r="A246" s="0" t="s">
        <v>16</v>
      </c>
      <c r="B246" s="0" t="s">
        <v>3841</v>
      </c>
      <c r="C246" s="0" t="s">
        <v>3842</v>
      </c>
      <c r="D246" s="0" t="s">
        <v>3864</v>
      </c>
      <c r="E246" s="0" t="s">
        <v>3865</v>
      </c>
      <c r="F246" s="0" t="s">
        <v>3212</v>
      </c>
      <c r="G246" s="0" t="s">
        <v>3866</v>
      </c>
    </row>
    <row customHeight="1" ht="11.25">
      <c r="A247" s="0" t="s">
        <v>16</v>
      </c>
      <c r="B247" s="0" t="s">
        <v>3867</v>
      </c>
      <c r="C247" s="0" t="s">
        <v>3868</v>
      </c>
      <c r="D247" s="0" t="s">
        <v>3869</v>
      </c>
      <c r="E247" s="0" t="s">
        <v>3870</v>
      </c>
      <c r="F247" s="0" t="s">
        <v>3221</v>
      </c>
      <c r="G247" s="0" t="s">
        <v>3871</v>
      </c>
    </row>
    <row customHeight="1" ht="11.25">
      <c r="A248" s="0" t="s">
        <v>16</v>
      </c>
      <c r="B248" s="0" t="s">
        <v>3867</v>
      </c>
      <c r="C248" s="0" t="s">
        <v>3868</v>
      </c>
      <c r="D248" s="0" t="s">
        <v>3872</v>
      </c>
      <c r="E248" s="0" t="s">
        <v>3873</v>
      </c>
      <c r="F248" s="0" t="s">
        <v>3212</v>
      </c>
      <c r="G248" s="0" t="s">
        <v>3874</v>
      </c>
    </row>
    <row customHeight="1" ht="11.25">
      <c r="A249" s="0" t="s">
        <v>16</v>
      </c>
      <c r="B249" s="0" t="s">
        <v>3867</v>
      </c>
      <c r="C249" s="0" t="s">
        <v>3868</v>
      </c>
      <c r="D249" s="0" t="s">
        <v>3756</v>
      </c>
      <c r="E249" s="0" t="s">
        <v>3875</v>
      </c>
      <c r="F249" s="0" t="s">
        <v>3212</v>
      </c>
      <c r="G249" s="0" t="s">
        <v>3876</v>
      </c>
    </row>
    <row customHeight="1" ht="11.25">
      <c r="A250" s="0" t="s">
        <v>16</v>
      </c>
      <c r="B250" s="0" t="s">
        <v>3867</v>
      </c>
      <c r="C250" s="0" t="s">
        <v>3868</v>
      </c>
      <c r="D250" s="0" t="s">
        <v>3877</v>
      </c>
      <c r="E250" s="0" t="s">
        <v>3878</v>
      </c>
      <c r="F250" s="0" t="s">
        <v>3212</v>
      </c>
      <c r="G250" s="0" t="s">
        <v>3879</v>
      </c>
    </row>
    <row customHeight="1" ht="11.25">
      <c r="A251" s="0" t="s">
        <v>16</v>
      </c>
      <c r="B251" s="0" t="s">
        <v>3867</v>
      </c>
      <c r="C251" s="0" t="s">
        <v>3868</v>
      </c>
      <c r="D251" s="0" t="s">
        <v>3880</v>
      </c>
      <c r="E251" s="0" t="s">
        <v>3881</v>
      </c>
      <c r="F251" s="0" t="s">
        <v>3212</v>
      </c>
      <c r="G251" s="0" t="s">
        <v>3882</v>
      </c>
    </row>
    <row customHeight="1" ht="11.25">
      <c r="A252" s="0" t="s">
        <v>16</v>
      </c>
      <c r="B252" s="0" t="s">
        <v>3867</v>
      </c>
      <c r="C252" s="0" t="s">
        <v>3868</v>
      </c>
      <c r="D252" s="0" t="s">
        <v>3883</v>
      </c>
      <c r="E252" s="0" t="s">
        <v>3884</v>
      </c>
      <c r="F252" s="0" t="s">
        <v>3212</v>
      </c>
      <c r="G252" s="0" t="s">
        <v>3885</v>
      </c>
    </row>
    <row customHeight="1" ht="11.25">
      <c r="A253" s="0" t="s">
        <v>16</v>
      </c>
      <c r="B253" s="0" t="s">
        <v>3867</v>
      </c>
      <c r="C253" s="0" t="s">
        <v>3868</v>
      </c>
      <c r="D253" s="0" t="s">
        <v>3886</v>
      </c>
      <c r="E253" s="0" t="s">
        <v>3887</v>
      </c>
      <c r="F253" s="0" t="s">
        <v>3212</v>
      </c>
      <c r="G253" s="0" t="s">
        <v>3888</v>
      </c>
    </row>
    <row customHeight="1" ht="11.25">
      <c r="A254" s="0" t="s">
        <v>16</v>
      </c>
      <c r="B254" s="0" t="s">
        <v>3867</v>
      </c>
      <c r="C254" s="0" t="s">
        <v>3868</v>
      </c>
      <c r="D254" s="0" t="s">
        <v>3867</v>
      </c>
      <c r="E254" s="0" t="s">
        <v>3868</v>
      </c>
      <c r="F254" s="0" t="s">
        <v>3209</v>
      </c>
      <c r="G254" s="0" t="s">
        <v>3889</v>
      </c>
    </row>
    <row customHeight="1" ht="11.25">
      <c r="A255" s="0" t="s">
        <v>16</v>
      </c>
      <c r="B255" s="0" t="s">
        <v>3867</v>
      </c>
      <c r="C255" s="0" t="s">
        <v>3868</v>
      </c>
      <c r="D255" s="0" t="s">
        <v>3890</v>
      </c>
      <c r="E255" s="0" t="s">
        <v>3891</v>
      </c>
      <c r="F255" s="0" t="s">
        <v>3212</v>
      </c>
      <c r="G255" s="0" t="s">
        <v>3892</v>
      </c>
    </row>
    <row customHeight="1" ht="11.25">
      <c r="A256" s="0" t="s">
        <v>16</v>
      </c>
      <c r="B256" s="0" t="s">
        <v>3867</v>
      </c>
      <c r="C256" s="0" t="s">
        <v>3868</v>
      </c>
      <c r="D256" s="0" t="s">
        <v>3893</v>
      </c>
      <c r="E256" s="0" t="s">
        <v>3894</v>
      </c>
      <c r="F256" s="0" t="s">
        <v>3212</v>
      </c>
      <c r="G256" s="0" t="s">
        <v>3895</v>
      </c>
    </row>
    <row customHeight="1" ht="11.25">
      <c r="A257" s="0" t="s">
        <v>16</v>
      </c>
      <c r="B257" s="0" t="s">
        <v>3896</v>
      </c>
      <c r="C257" s="0" t="s">
        <v>3897</v>
      </c>
      <c r="D257" s="0" t="s">
        <v>3898</v>
      </c>
      <c r="E257" s="0" t="s">
        <v>3899</v>
      </c>
      <c r="F257" s="0" t="s">
        <v>3212</v>
      </c>
      <c r="G257" s="0" t="s">
        <v>3900</v>
      </c>
    </row>
    <row customHeight="1" ht="11.25">
      <c r="A258" s="0" t="s">
        <v>16</v>
      </c>
      <c r="B258" s="0" t="s">
        <v>3896</v>
      </c>
      <c r="C258" s="0" t="s">
        <v>3897</v>
      </c>
      <c r="D258" s="0" t="s">
        <v>3901</v>
      </c>
      <c r="E258" s="0" t="s">
        <v>3902</v>
      </c>
      <c r="F258" s="0" t="s">
        <v>3212</v>
      </c>
      <c r="G258" s="0" t="s">
        <v>3903</v>
      </c>
    </row>
    <row customHeight="1" ht="11.25">
      <c r="A259" s="0" t="s">
        <v>16</v>
      </c>
      <c r="B259" s="0" t="s">
        <v>3896</v>
      </c>
      <c r="C259" s="0" t="s">
        <v>3897</v>
      </c>
      <c r="D259" s="0" t="s">
        <v>3904</v>
      </c>
      <c r="E259" s="0" t="s">
        <v>3905</v>
      </c>
      <c r="F259" s="0" t="s">
        <v>3212</v>
      </c>
      <c r="G259" s="0" t="s">
        <v>3906</v>
      </c>
    </row>
    <row customHeight="1" ht="11.25">
      <c r="A260" s="0" t="s">
        <v>16</v>
      </c>
      <c r="B260" s="0" t="s">
        <v>3896</v>
      </c>
      <c r="C260" s="0" t="s">
        <v>3897</v>
      </c>
      <c r="D260" s="0" t="s">
        <v>3295</v>
      </c>
      <c r="E260" s="0" t="s">
        <v>3907</v>
      </c>
      <c r="F260" s="0" t="s">
        <v>3212</v>
      </c>
      <c r="G260" s="0" t="s">
        <v>3908</v>
      </c>
    </row>
    <row customHeight="1" ht="11.25">
      <c r="A261" s="0" t="s">
        <v>16</v>
      </c>
      <c r="B261" s="0" t="s">
        <v>3896</v>
      </c>
      <c r="C261" s="0" t="s">
        <v>3897</v>
      </c>
      <c r="D261" s="0" t="s">
        <v>3702</v>
      </c>
      <c r="E261" s="0" t="s">
        <v>3909</v>
      </c>
      <c r="F261" s="0" t="s">
        <v>3212</v>
      </c>
      <c r="G261" s="0" t="s">
        <v>3910</v>
      </c>
    </row>
    <row customHeight="1" ht="11.25">
      <c r="A262" s="0" t="s">
        <v>16</v>
      </c>
      <c r="B262" s="0" t="s">
        <v>3896</v>
      </c>
      <c r="C262" s="0" t="s">
        <v>3897</v>
      </c>
      <c r="D262" s="0" t="s">
        <v>3911</v>
      </c>
      <c r="E262" s="0" t="s">
        <v>3912</v>
      </c>
      <c r="F262" s="0" t="s">
        <v>3212</v>
      </c>
      <c r="G262" s="0" t="s">
        <v>3913</v>
      </c>
    </row>
    <row customHeight="1" ht="11.25">
      <c r="A263" s="0" t="s">
        <v>16</v>
      </c>
      <c r="B263" s="0" t="s">
        <v>3896</v>
      </c>
      <c r="C263" s="0" t="s">
        <v>3897</v>
      </c>
      <c r="D263" s="0" t="s">
        <v>3896</v>
      </c>
      <c r="E263" s="0" t="s">
        <v>3897</v>
      </c>
      <c r="F263" s="0" t="s">
        <v>3209</v>
      </c>
      <c r="G263" s="0" t="s">
        <v>3914</v>
      </c>
    </row>
    <row customHeight="1" ht="11.25">
      <c r="A264" s="0" t="s">
        <v>16</v>
      </c>
      <c r="B264" s="0" t="s">
        <v>3896</v>
      </c>
      <c r="C264" s="0" t="s">
        <v>3897</v>
      </c>
      <c r="D264" s="0" t="s">
        <v>3915</v>
      </c>
      <c r="E264" s="0" t="s">
        <v>3916</v>
      </c>
      <c r="F264" s="0" t="s">
        <v>3254</v>
      </c>
      <c r="G264" s="0" t="s">
        <v>3917</v>
      </c>
    </row>
    <row customHeight="1" ht="11.25">
      <c r="A265" s="0" t="s">
        <v>16</v>
      </c>
      <c r="B265" s="0" t="s">
        <v>3896</v>
      </c>
      <c r="C265" s="0" t="s">
        <v>3897</v>
      </c>
      <c r="D265" s="0" t="s">
        <v>3918</v>
      </c>
      <c r="E265" s="0" t="s">
        <v>3919</v>
      </c>
      <c r="F265" s="0" t="s">
        <v>3212</v>
      </c>
      <c r="G265" s="0" t="s">
        <v>3920</v>
      </c>
    </row>
    <row customHeight="1" ht="11.25">
      <c r="A266" s="0" t="s">
        <v>16</v>
      </c>
      <c r="B266" s="0" t="s">
        <v>3921</v>
      </c>
      <c r="C266" s="0" t="s">
        <v>3922</v>
      </c>
      <c r="D266" s="0" t="s">
        <v>3923</v>
      </c>
      <c r="E266" s="0" t="s">
        <v>3924</v>
      </c>
      <c r="F266" s="0" t="s">
        <v>3212</v>
      </c>
      <c r="G266" s="0" t="s">
        <v>3925</v>
      </c>
    </row>
    <row customHeight="1" ht="11.25">
      <c r="A267" s="0" t="s">
        <v>16</v>
      </c>
      <c r="B267" s="0" t="s">
        <v>3921</v>
      </c>
      <c r="C267" s="0" t="s">
        <v>3922</v>
      </c>
      <c r="D267" s="0" t="s">
        <v>3926</v>
      </c>
      <c r="E267" s="0" t="s">
        <v>3927</v>
      </c>
      <c r="F267" s="0" t="s">
        <v>3212</v>
      </c>
      <c r="G267" s="0" t="s">
        <v>3928</v>
      </c>
    </row>
    <row customHeight="1" ht="11.25">
      <c r="A268" s="0" t="s">
        <v>16</v>
      </c>
      <c r="B268" s="0" t="s">
        <v>3921</v>
      </c>
      <c r="C268" s="0" t="s">
        <v>3922</v>
      </c>
      <c r="D268" s="0" t="s">
        <v>3929</v>
      </c>
      <c r="E268" s="0" t="s">
        <v>3930</v>
      </c>
      <c r="F268" s="0" t="s">
        <v>3212</v>
      </c>
      <c r="G268" s="0" t="s">
        <v>3931</v>
      </c>
    </row>
    <row customHeight="1" ht="11.25">
      <c r="A269" s="0" t="s">
        <v>16</v>
      </c>
      <c r="B269" s="0" t="s">
        <v>3921</v>
      </c>
      <c r="C269" s="0" t="s">
        <v>3922</v>
      </c>
      <c r="D269" s="0" t="s">
        <v>3932</v>
      </c>
      <c r="E269" s="0" t="s">
        <v>3933</v>
      </c>
      <c r="F269" s="0" t="s">
        <v>3212</v>
      </c>
      <c r="G269" s="0" t="s">
        <v>3934</v>
      </c>
    </row>
    <row customHeight="1" ht="11.25">
      <c r="A270" s="0" t="s">
        <v>16</v>
      </c>
      <c r="B270" s="0" t="s">
        <v>3921</v>
      </c>
      <c r="C270" s="0" t="s">
        <v>3922</v>
      </c>
      <c r="D270" s="0" t="s">
        <v>3921</v>
      </c>
      <c r="E270" s="0" t="s">
        <v>3922</v>
      </c>
      <c r="F270" s="0" t="s">
        <v>3209</v>
      </c>
      <c r="G270" s="0" t="s">
        <v>3935</v>
      </c>
    </row>
    <row customHeight="1" ht="11.25">
      <c r="A271" s="0" t="s">
        <v>16</v>
      </c>
      <c r="B271" s="0" t="s">
        <v>3921</v>
      </c>
      <c r="C271" s="0" t="s">
        <v>3922</v>
      </c>
      <c r="D271" s="0" t="s">
        <v>3936</v>
      </c>
      <c r="E271" s="0" t="s">
        <v>3937</v>
      </c>
      <c r="F271" s="0" t="s">
        <v>3254</v>
      </c>
      <c r="G271" s="0" t="s">
        <v>3938</v>
      </c>
    </row>
    <row customHeight="1" ht="11.25">
      <c r="A272" s="0" t="s">
        <v>16</v>
      </c>
      <c r="B272" s="0" t="s">
        <v>3921</v>
      </c>
      <c r="C272" s="0" t="s">
        <v>3922</v>
      </c>
      <c r="D272" s="0" t="s">
        <v>3939</v>
      </c>
      <c r="E272" s="0" t="s">
        <v>3940</v>
      </c>
      <c r="F272" s="0" t="s">
        <v>3212</v>
      </c>
      <c r="G272" s="0" t="s">
        <v>3941</v>
      </c>
    </row>
    <row customHeight="1" ht="11.25">
      <c r="A273" s="0" t="s">
        <v>16</v>
      </c>
      <c r="B273" s="0" t="s">
        <v>3942</v>
      </c>
      <c r="C273" s="0" t="s">
        <v>3943</v>
      </c>
      <c r="D273" s="0" t="s">
        <v>3944</v>
      </c>
      <c r="E273" s="0" t="s">
        <v>3945</v>
      </c>
      <c r="F273" s="0" t="s">
        <v>3221</v>
      </c>
      <c r="G273" s="0" t="s">
        <v>3946</v>
      </c>
    </row>
    <row customHeight="1" ht="11.25">
      <c r="A274" s="0" t="s">
        <v>16</v>
      </c>
      <c r="B274" s="0" t="s">
        <v>3942</v>
      </c>
      <c r="C274" s="0" t="s">
        <v>3943</v>
      </c>
      <c r="D274" s="0" t="s">
        <v>3947</v>
      </c>
      <c r="E274" s="0" t="s">
        <v>3948</v>
      </c>
      <c r="F274" s="0" t="s">
        <v>3212</v>
      </c>
      <c r="G274" s="0" t="s">
        <v>3949</v>
      </c>
    </row>
    <row customHeight="1" ht="11.25">
      <c r="A275" s="0" t="s">
        <v>16</v>
      </c>
      <c r="B275" s="0" t="s">
        <v>3942</v>
      </c>
      <c r="C275" s="0" t="s">
        <v>3943</v>
      </c>
      <c r="D275" s="0" t="s">
        <v>3950</v>
      </c>
      <c r="E275" s="0" t="s">
        <v>3951</v>
      </c>
      <c r="F275" s="0" t="s">
        <v>3212</v>
      </c>
      <c r="G275" s="0" t="s">
        <v>3952</v>
      </c>
    </row>
    <row customHeight="1" ht="11.25">
      <c r="A276" s="0" t="s">
        <v>16</v>
      </c>
      <c r="B276" s="0" t="s">
        <v>3942</v>
      </c>
      <c r="C276" s="0" t="s">
        <v>3943</v>
      </c>
      <c r="D276" s="0" t="s">
        <v>3293</v>
      </c>
      <c r="E276" s="0" t="s">
        <v>3953</v>
      </c>
      <c r="F276" s="0" t="s">
        <v>3212</v>
      </c>
      <c r="G276" s="0" t="s">
        <v>3954</v>
      </c>
    </row>
    <row customHeight="1" ht="11.25">
      <c r="A277" s="0" t="s">
        <v>16</v>
      </c>
      <c r="B277" s="0" t="s">
        <v>3942</v>
      </c>
      <c r="C277" s="0" t="s">
        <v>3943</v>
      </c>
      <c r="D277" s="0" t="s">
        <v>3942</v>
      </c>
      <c r="E277" s="0" t="s">
        <v>3943</v>
      </c>
      <c r="F277" s="0" t="s">
        <v>3209</v>
      </c>
      <c r="G277" s="0" t="s">
        <v>3955</v>
      </c>
    </row>
    <row customHeight="1" ht="11.25">
      <c r="A278" s="0" t="s">
        <v>16</v>
      </c>
      <c r="B278" s="0" t="s">
        <v>3942</v>
      </c>
      <c r="C278" s="0" t="s">
        <v>3943</v>
      </c>
      <c r="D278" s="0" t="s">
        <v>3956</v>
      </c>
      <c r="E278" s="0" t="s">
        <v>3957</v>
      </c>
      <c r="F278" s="0" t="s">
        <v>3212</v>
      </c>
      <c r="G278" s="0" t="s">
        <v>3958</v>
      </c>
    </row>
    <row customHeight="1" ht="11.25">
      <c r="A279" s="0" t="s">
        <v>16</v>
      </c>
      <c r="B279" s="0" t="s">
        <v>3942</v>
      </c>
      <c r="C279" s="0" t="s">
        <v>3943</v>
      </c>
      <c r="D279" s="0" t="s">
        <v>3959</v>
      </c>
      <c r="E279" s="0" t="s">
        <v>3960</v>
      </c>
      <c r="F279" s="0" t="s">
        <v>3212</v>
      </c>
      <c r="G279" s="0" t="s">
        <v>3961</v>
      </c>
    </row>
    <row customHeight="1" ht="11.25">
      <c r="A280" s="0" t="s">
        <v>16</v>
      </c>
      <c r="B280" s="0" t="s">
        <v>3942</v>
      </c>
      <c r="C280" s="0" t="s">
        <v>3943</v>
      </c>
      <c r="D280" s="0" t="s">
        <v>3962</v>
      </c>
      <c r="E280" s="0" t="s">
        <v>3963</v>
      </c>
      <c r="F280" s="0" t="s">
        <v>3212</v>
      </c>
      <c r="G280" s="0" t="s">
        <v>3964</v>
      </c>
    </row>
    <row customHeight="1" ht="11.25">
      <c r="A281" s="0" t="s">
        <v>16</v>
      </c>
      <c r="B281" s="0" t="s">
        <v>3965</v>
      </c>
      <c r="C281" s="0" t="s">
        <v>3966</v>
      </c>
      <c r="D281" s="0" t="s">
        <v>3967</v>
      </c>
      <c r="E281" s="0" t="s">
        <v>3968</v>
      </c>
      <c r="F281" s="0" t="s">
        <v>3212</v>
      </c>
      <c r="G281" s="0" t="s">
        <v>3969</v>
      </c>
    </row>
    <row customHeight="1" ht="11.25">
      <c r="A282" s="0" t="s">
        <v>16</v>
      </c>
      <c r="B282" s="0" t="s">
        <v>3965</v>
      </c>
      <c r="C282" s="0" t="s">
        <v>3966</v>
      </c>
      <c r="D282" s="0" t="s">
        <v>3970</v>
      </c>
      <c r="E282" s="0" t="s">
        <v>3971</v>
      </c>
      <c r="F282" s="0" t="s">
        <v>3212</v>
      </c>
      <c r="G282" s="0" t="s">
        <v>3972</v>
      </c>
    </row>
    <row customHeight="1" ht="11.25">
      <c r="A283" s="0" t="s">
        <v>16</v>
      </c>
      <c r="B283" s="0" t="s">
        <v>3965</v>
      </c>
      <c r="C283" s="0" t="s">
        <v>3966</v>
      </c>
      <c r="D283" s="0" t="s">
        <v>3973</v>
      </c>
      <c r="E283" s="0" t="s">
        <v>3974</v>
      </c>
      <c r="F283" s="0" t="s">
        <v>3212</v>
      </c>
      <c r="G283" s="0" t="s">
        <v>3975</v>
      </c>
    </row>
    <row customHeight="1" ht="11.25">
      <c r="A284" s="0" t="s">
        <v>16</v>
      </c>
      <c r="B284" s="0" t="s">
        <v>3965</v>
      </c>
      <c r="C284" s="0" t="s">
        <v>3966</v>
      </c>
      <c r="D284" s="0" t="s">
        <v>3222</v>
      </c>
      <c r="E284" s="0" t="s">
        <v>3976</v>
      </c>
      <c r="F284" s="0" t="s">
        <v>3212</v>
      </c>
      <c r="G284" s="0" t="s">
        <v>3977</v>
      </c>
    </row>
    <row customHeight="1" ht="11.25">
      <c r="A285" s="0" t="s">
        <v>16</v>
      </c>
      <c r="B285" s="0" t="s">
        <v>3965</v>
      </c>
      <c r="C285" s="0" t="s">
        <v>3966</v>
      </c>
      <c r="D285" s="0" t="s">
        <v>3978</v>
      </c>
      <c r="E285" s="0" t="s">
        <v>3979</v>
      </c>
      <c r="F285" s="0" t="s">
        <v>3212</v>
      </c>
      <c r="G285" s="0" t="s">
        <v>3980</v>
      </c>
    </row>
    <row customHeight="1" ht="11.25">
      <c r="A286" s="0" t="s">
        <v>16</v>
      </c>
      <c r="B286" s="0" t="s">
        <v>3965</v>
      </c>
      <c r="C286" s="0" t="s">
        <v>3966</v>
      </c>
      <c r="D286" s="0" t="s">
        <v>3965</v>
      </c>
      <c r="E286" s="0" t="s">
        <v>3966</v>
      </c>
      <c r="F286" s="0" t="s">
        <v>3209</v>
      </c>
      <c r="G286" s="0" t="s">
        <v>3981</v>
      </c>
    </row>
    <row customHeight="1" ht="11.25">
      <c r="A287" s="0" t="s">
        <v>16</v>
      </c>
      <c r="B287" s="0" t="s">
        <v>3965</v>
      </c>
      <c r="C287" s="0" t="s">
        <v>3966</v>
      </c>
      <c r="D287" s="0" t="s">
        <v>3982</v>
      </c>
      <c r="E287" s="0" t="s">
        <v>3983</v>
      </c>
      <c r="F287" s="0" t="s">
        <v>3254</v>
      </c>
      <c r="G287" s="0" t="s">
        <v>3984</v>
      </c>
    </row>
    <row customHeight="1" ht="11.25">
      <c r="A288" s="0" t="s">
        <v>16</v>
      </c>
      <c r="B288" s="0" t="s">
        <v>3965</v>
      </c>
      <c r="C288" s="0" t="s">
        <v>3966</v>
      </c>
      <c r="D288" s="0" t="s">
        <v>3985</v>
      </c>
      <c r="E288" s="0" t="s">
        <v>3986</v>
      </c>
      <c r="F288" s="0" t="s">
        <v>3212</v>
      </c>
      <c r="G288" s="0" t="s">
        <v>3987</v>
      </c>
    </row>
    <row customHeight="1" ht="11.25">
      <c r="A289" s="0" t="s">
        <v>16</v>
      </c>
      <c r="B289" s="0" t="s">
        <v>3965</v>
      </c>
      <c r="C289" s="0" t="s">
        <v>3966</v>
      </c>
      <c r="D289" s="0" t="s">
        <v>3988</v>
      </c>
      <c r="E289" s="0" t="s">
        <v>3989</v>
      </c>
      <c r="F289" s="0" t="s">
        <v>3212</v>
      </c>
      <c r="G289" s="0" t="s">
        <v>3990</v>
      </c>
    </row>
    <row customHeight="1" ht="11.25">
      <c r="A290" s="0" t="s">
        <v>16</v>
      </c>
      <c r="B290" s="0" t="s">
        <v>3991</v>
      </c>
      <c r="C290" s="0" t="s">
        <v>3992</v>
      </c>
      <c r="D290" s="0" t="s">
        <v>3993</v>
      </c>
      <c r="E290" s="0" t="s">
        <v>3994</v>
      </c>
      <c r="F290" s="0" t="s">
        <v>3212</v>
      </c>
      <c r="G290" s="0" t="s">
        <v>3995</v>
      </c>
    </row>
    <row customHeight="1" ht="11.25">
      <c r="A291" s="0" t="s">
        <v>16</v>
      </c>
      <c r="B291" s="0" t="s">
        <v>3991</v>
      </c>
      <c r="C291" s="0" t="s">
        <v>3992</v>
      </c>
      <c r="D291" s="0" t="s">
        <v>3996</v>
      </c>
      <c r="E291" s="0" t="s">
        <v>3997</v>
      </c>
      <c r="F291" s="0" t="s">
        <v>3212</v>
      </c>
      <c r="G291" s="0" t="s">
        <v>3998</v>
      </c>
    </row>
    <row customHeight="1" ht="11.25">
      <c r="A292" s="0" t="s">
        <v>16</v>
      </c>
      <c r="B292" s="0" t="s">
        <v>3991</v>
      </c>
      <c r="C292" s="0" t="s">
        <v>3992</v>
      </c>
      <c r="D292" s="0" t="s">
        <v>3999</v>
      </c>
      <c r="E292" s="0" t="s">
        <v>4000</v>
      </c>
      <c r="F292" s="0" t="s">
        <v>3212</v>
      </c>
      <c r="G292" s="0" t="s">
        <v>4001</v>
      </c>
    </row>
    <row customHeight="1" ht="11.25">
      <c r="A293" s="0" t="s">
        <v>16</v>
      </c>
      <c r="B293" s="0" t="s">
        <v>3991</v>
      </c>
      <c r="C293" s="0" t="s">
        <v>3992</v>
      </c>
      <c r="D293" s="0" t="s">
        <v>4002</v>
      </c>
      <c r="E293" s="0" t="s">
        <v>4003</v>
      </c>
      <c r="F293" s="0" t="s">
        <v>3254</v>
      </c>
      <c r="G293" s="0" t="s">
        <v>4004</v>
      </c>
    </row>
    <row customHeight="1" ht="11.25">
      <c r="A294" s="0" t="s">
        <v>16</v>
      </c>
      <c r="B294" s="0" t="s">
        <v>3991</v>
      </c>
      <c r="C294" s="0" t="s">
        <v>3992</v>
      </c>
      <c r="D294" s="0" t="s">
        <v>4005</v>
      </c>
      <c r="E294" s="0" t="s">
        <v>4006</v>
      </c>
      <c r="F294" s="0" t="s">
        <v>3212</v>
      </c>
      <c r="G294" s="0" t="s">
        <v>4007</v>
      </c>
    </row>
    <row customHeight="1" ht="11.25">
      <c r="A295" s="0" t="s">
        <v>16</v>
      </c>
      <c r="B295" s="0" t="s">
        <v>3991</v>
      </c>
      <c r="C295" s="0" t="s">
        <v>3992</v>
      </c>
      <c r="D295" s="0" t="s">
        <v>3991</v>
      </c>
      <c r="E295" s="0" t="s">
        <v>3992</v>
      </c>
      <c r="F295" s="0" t="s">
        <v>3209</v>
      </c>
      <c r="G295" s="0" t="s">
        <v>4008</v>
      </c>
    </row>
    <row customHeight="1" ht="11.25">
      <c r="A296" s="0" t="s">
        <v>16</v>
      </c>
      <c r="B296" s="0" t="s">
        <v>3991</v>
      </c>
      <c r="C296" s="0" t="s">
        <v>3992</v>
      </c>
      <c r="D296" s="0" t="s">
        <v>3407</v>
      </c>
      <c r="E296" s="0" t="s">
        <v>4009</v>
      </c>
      <c r="F296" s="0" t="s">
        <v>3254</v>
      </c>
      <c r="G296" s="0" t="s">
        <v>4010</v>
      </c>
    </row>
    <row customHeight="1" ht="11.25">
      <c r="A297" s="0" t="s">
        <v>16</v>
      </c>
      <c r="B297" s="0" t="s">
        <v>3991</v>
      </c>
      <c r="C297" s="0" t="s">
        <v>3992</v>
      </c>
      <c r="D297" s="0" t="s">
        <v>4011</v>
      </c>
      <c r="E297" s="0" t="s">
        <v>4012</v>
      </c>
      <c r="F297" s="0" t="s">
        <v>3254</v>
      </c>
      <c r="G297" s="0" t="s">
        <v>4013</v>
      </c>
    </row>
    <row customHeight="1" ht="11.25">
      <c r="A298" s="0" t="s">
        <v>16</v>
      </c>
      <c r="B298" s="0" t="s">
        <v>4014</v>
      </c>
      <c r="C298" s="0" t="s">
        <v>4015</v>
      </c>
      <c r="D298" s="0" t="s">
        <v>4016</v>
      </c>
      <c r="E298" s="0" t="s">
        <v>4017</v>
      </c>
      <c r="F298" s="0" t="s">
        <v>3212</v>
      </c>
      <c r="G298" s="0" t="s">
        <v>4018</v>
      </c>
    </row>
    <row customHeight="1" ht="11.25">
      <c r="A299" s="0" t="s">
        <v>16</v>
      </c>
      <c r="B299" s="0" t="s">
        <v>4014</v>
      </c>
      <c r="C299" s="0" t="s">
        <v>4015</v>
      </c>
      <c r="D299" s="0" t="s">
        <v>4019</v>
      </c>
      <c r="E299" s="0" t="s">
        <v>4020</v>
      </c>
      <c r="F299" s="0" t="s">
        <v>3212</v>
      </c>
      <c r="G299" s="0" t="s">
        <v>4021</v>
      </c>
    </row>
    <row customHeight="1" ht="11.25">
      <c r="A300" s="0" t="s">
        <v>16</v>
      </c>
      <c r="B300" s="0" t="s">
        <v>4014</v>
      </c>
      <c r="C300" s="0" t="s">
        <v>4015</v>
      </c>
      <c r="D300" s="0" t="s">
        <v>3293</v>
      </c>
      <c r="E300" s="0" t="s">
        <v>4022</v>
      </c>
      <c r="F300" s="0" t="s">
        <v>3212</v>
      </c>
      <c r="G300" s="0" t="s">
        <v>4023</v>
      </c>
    </row>
    <row customHeight="1" ht="11.25">
      <c r="A301" s="0" t="s">
        <v>16</v>
      </c>
      <c r="B301" s="0" t="s">
        <v>4014</v>
      </c>
      <c r="C301" s="0" t="s">
        <v>4015</v>
      </c>
      <c r="D301" s="0" t="s">
        <v>4024</v>
      </c>
      <c r="E301" s="0" t="s">
        <v>4025</v>
      </c>
      <c r="F301" s="0" t="s">
        <v>3212</v>
      </c>
      <c r="G301" s="0" t="s">
        <v>4026</v>
      </c>
    </row>
    <row customHeight="1" ht="11.25">
      <c r="A302" s="0" t="s">
        <v>16</v>
      </c>
      <c r="B302" s="0" t="s">
        <v>4014</v>
      </c>
      <c r="C302" s="0" t="s">
        <v>4015</v>
      </c>
      <c r="D302" s="0" t="s">
        <v>4027</v>
      </c>
      <c r="E302" s="0" t="s">
        <v>4028</v>
      </c>
      <c r="F302" s="0" t="s">
        <v>3212</v>
      </c>
      <c r="G302" s="0" t="s">
        <v>4029</v>
      </c>
    </row>
    <row customHeight="1" ht="11.25">
      <c r="A303" s="0" t="s">
        <v>16</v>
      </c>
      <c r="B303" s="0" t="s">
        <v>4014</v>
      </c>
      <c r="C303" s="0" t="s">
        <v>4015</v>
      </c>
      <c r="D303" s="0" t="s">
        <v>4014</v>
      </c>
      <c r="E303" s="0" t="s">
        <v>4015</v>
      </c>
      <c r="F303" s="0" t="s">
        <v>3209</v>
      </c>
      <c r="G303" s="0" t="s">
        <v>4030</v>
      </c>
    </row>
    <row customHeight="1" ht="11.25">
      <c r="A304" s="0" t="s">
        <v>16</v>
      </c>
      <c r="B304" s="0" t="s">
        <v>4014</v>
      </c>
      <c r="C304" s="0" t="s">
        <v>4015</v>
      </c>
      <c r="D304" s="0" t="s">
        <v>4031</v>
      </c>
      <c r="E304" s="0" t="s">
        <v>4032</v>
      </c>
      <c r="F304" s="0" t="s">
        <v>3254</v>
      </c>
      <c r="G304" s="0" t="s">
        <v>4033</v>
      </c>
    </row>
    <row customHeight="1" ht="11.25">
      <c r="A305" s="0" t="s">
        <v>16</v>
      </c>
      <c r="B305" s="0" t="s">
        <v>4014</v>
      </c>
      <c r="C305" s="0" t="s">
        <v>4015</v>
      </c>
      <c r="D305" s="0" t="s">
        <v>4034</v>
      </c>
      <c r="E305" s="0" t="s">
        <v>4035</v>
      </c>
      <c r="F305" s="0" t="s">
        <v>3212</v>
      </c>
      <c r="G305" s="0" t="s">
        <v>4036</v>
      </c>
    </row>
    <row customHeight="1" ht="11.25">
      <c r="A306" s="0" t="s">
        <v>16</v>
      </c>
      <c r="B306" s="0" t="s">
        <v>4037</v>
      </c>
      <c r="C306" s="0" t="s">
        <v>4038</v>
      </c>
      <c r="D306" s="0" t="s">
        <v>4039</v>
      </c>
      <c r="E306" s="0" t="s">
        <v>4040</v>
      </c>
      <c r="F306" s="0" t="s">
        <v>3212</v>
      </c>
      <c r="G306" s="0" t="s">
        <v>4041</v>
      </c>
    </row>
    <row customHeight="1" ht="11.25">
      <c r="A307" s="0" t="s">
        <v>16</v>
      </c>
      <c r="B307" s="0" t="s">
        <v>4037</v>
      </c>
      <c r="C307" s="0" t="s">
        <v>4038</v>
      </c>
      <c r="D307" s="0" t="s">
        <v>4042</v>
      </c>
      <c r="E307" s="0" t="s">
        <v>4043</v>
      </c>
      <c r="F307" s="0" t="s">
        <v>3212</v>
      </c>
      <c r="G307" s="0" t="s">
        <v>4044</v>
      </c>
    </row>
    <row customHeight="1" ht="11.25">
      <c r="A308" s="0" t="s">
        <v>16</v>
      </c>
      <c r="B308" s="0" t="s">
        <v>4037</v>
      </c>
      <c r="C308" s="0" t="s">
        <v>4038</v>
      </c>
      <c r="D308" s="0" t="s">
        <v>4045</v>
      </c>
      <c r="E308" s="0" t="s">
        <v>4046</v>
      </c>
      <c r="F308" s="0" t="s">
        <v>3212</v>
      </c>
      <c r="G308" s="0" t="s">
        <v>4047</v>
      </c>
    </row>
    <row customHeight="1" ht="11.25">
      <c r="A309" s="0" t="s">
        <v>16</v>
      </c>
      <c r="B309" s="0" t="s">
        <v>4037</v>
      </c>
      <c r="C309" s="0" t="s">
        <v>4038</v>
      </c>
      <c r="D309" s="0" t="s">
        <v>4037</v>
      </c>
      <c r="E309" s="0" t="s">
        <v>4038</v>
      </c>
      <c r="F309" s="0" t="s">
        <v>3209</v>
      </c>
      <c r="G309" s="0" t="s">
        <v>4048</v>
      </c>
    </row>
    <row customHeight="1" ht="11.25">
      <c r="A310" s="0" t="s">
        <v>16</v>
      </c>
      <c r="B310" s="0" t="s">
        <v>4037</v>
      </c>
      <c r="C310" s="0" t="s">
        <v>4038</v>
      </c>
      <c r="D310" s="0" t="s">
        <v>4049</v>
      </c>
      <c r="E310" s="0" t="s">
        <v>4050</v>
      </c>
      <c r="F310" s="0" t="s">
        <v>3254</v>
      </c>
      <c r="G310" s="0" t="s">
        <v>4051</v>
      </c>
    </row>
    <row customHeight="1" ht="11.25">
      <c r="A311" s="0" t="s">
        <v>16</v>
      </c>
      <c r="B311" s="0" t="s">
        <v>4052</v>
      </c>
      <c r="C311" s="0" t="s">
        <v>4053</v>
      </c>
      <c r="D311" s="0" t="s">
        <v>4054</v>
      </c>
      <c r="E311" s="0" t="s">
        <v>4055</v>
      </c>
      <c r="F311" s="0" t="s">
        <v>3212</v>
      </c>
      <c r="G311" s="0" t="s">
        <v>4056</v>
      </c>
    </row>
    <row customHeight="1" ht="11.25">
      <c r="A312" s="0" t="s">
        <v>16</v>
      </c>
      <c r="B312" s="0" t="s">
        <v>4052</v>
      </c>
      <c r="C312" s="0" t="s">
        <v>4053</v>
      </c>
      <c r="D312" s="0" t="s">
        <v>4057</v>
      </c>
      <c r="E312" s="0" t="s">
        <v>4058</v>
      </c>
      <c r="F312" s="0" t="s">
        <v>3212</v>
      </c>
      <c r="G312" s="0" t="s">
        <v>4059</v>
      </c>
    </row>
    <row customHeight="1" ht="11.25">
      <c r="A313" s="0" t="s">
        <v>16</v>
      </c>
      <c r="B313" s="0" t="s">
        <v>4052</v>
      </c>
      <c r="C313" s="0" t="s">
        <v>4053</v>
      </c>
      <c r="D313" s="0" t="s">
        <v>4060</v>
      </c>
      <c r="E313" s="0" t="s">
        <v>4061</v>
      </c>
      <c r="F313" s="0" t="s">
        <v>3212</v>
      </c>
      <c r="G313" s="0" t="s">
        <v>4062</v>
      </c>
    </row>
    <row customHeight="1" ht="11.25">
      <c r="A314" s="0" t="s">
        <v>16</v>
      </c>
      <c r="B314" s="0" t="s">
        <v>4052</v>
      </c>
      <c r="C314" s="0" t="s">
        <v>4053</v>
      </c>
      <c r="D314" s="0" t="s">
        <v>4063</v>
      </c>
      <c r="E314" s="0" t="s">
        <v>4064</v>
      </c>
      <c r="F314" s="0" t="s">
        <v>3254</v>
      </c>
      <c r="G314" s="0" t="s">
        <v>4065</v>
      </c>
    </row>
    <row customHeight="1" ht="11.25">
      <c r="A315" s="0" t="s">
        <v>16</v>
      </c>
      <c r="B315" s="0" t="s">
        <v>4052</v>
      </c>
      <c r="C315" s="0" t="s">
        <v>4053</v>
      </c>
      <c r="D315" s="0" t="s">
        <v>4066</v>
      </c>
      <c r="E315" s="0" t="s">
        <v>4067</v>
      </c>
      <c r="F315" s="0" t="s">
        <v>3212</v>
      </c>
      <c r="G315" s="0" t="s">
        <v>4068</v>
      </c>
    </row>
    <row customHeight="1" ht="11.25">
      <c r="A316" s="0" t="s">
        <v>16</v>
      </c>
      <c r="B316" s="0" t="s">
        <v>4052</v>
      </c>
      <c r="C316" s="0" t="s">
        <v>4053</v>
      </c>
      <c r="D316" s="0" t="s">
        <v>3295</v>
      </c>
      <c r="E316" s="0" t="s">
        <v>4069</v>
      </c>
      <c r="F316" s="0" t="s">
        <v>3212</v>
      </c>
      <c r="G316" s="0" t="s">
        <v>4070</v>
      </c>
    </row>
    <row customHeight="1" ht="11.25">
      <c r="A317" s="0" t="s">
        <v>16</v>
      </c>
      <c r="B317" s="0" t="s">
        <v>4052</v>
      </c>
      <c r="C317" s="0" t="s">
        <v>4053</v>
      </c>
      <c r="D317" s="0" t="s">
        <v>3230</v>
      </c>
      <c r="E317" s="0" t="s">
        <v>4071</v>
      </c>
      <c r="F317" s="0" t="s">
        <v>3212</v>
      </c>
      <c r="G317" s="0" t="s">
        <v>4072</v>
      </c>
    </row>
    <row customHeight="1" ht="11.25">
      <c r="A318" s="0" t="s">
        <v>16</v>
      </c>
      <c r="B318" s="0" t="s">
        <v>4052</v>
      </c>
      <c r="C318" s="0" t="s">
        <v>4053</v>
      </c>
      <c r="D318" s="0" t="s">
        <v>4052</v>
      </c>
      <c r="E318" s="0" t="s">
        <v>4053</v>
      </c>
      <c r="F318" s="0" t="s">
        <v>3209</v>
      </c>
      <c r="G318" s="0" t="s">
        <v>4073</v>
      </c>
    </row>
    <row customHeight="1" ht="11.25">
      <c r="A319" s="0" t="s">
        <v>16</v>
      </c>
      <c r="B319" s="0" t="s">
        <v>4052</v>
      </c>
      <c r="C319" s="0" t="s">
        <v>4053</v>
      </c>
      <c r="D319" s="0" t="s">
        <v>4074</v>
      </c>
      <c r="E319" s="0" t="s">
        <v>4075</v>
      </c>
      <c r="F319" s="0" t="s">
        <v>3212</v>
      </c>
      <c r="G319" s="0" t="s">
        <v>4076</v>
      </c>
    </row>
    <row customHeight="1" ht="11.25">
      <c r="A320" s="0" t="s">
        <v>16</v>
      </c>
      <c r="B320" s="0" t="s">
        <v>4077</v>
      </c>
      <c r="C320" s="0" t="s">
        <v>4078</v>
      </c>
      <c r="D320" s="0" t="s">
        <v>3250</v>
      </c>
      <c r="E320" s="0" t="s">
        <v>4079</v>
      </c>
      <c r="F320" s="0" t="s">
        <v>3212</v>
      </c>
      <c r="G320" s="0" t="s">
        <v>4080</v>
      </c>
    </row>
    <row customHeight="1" ht="11.25">
      <c r="A321" s="0" t="s">
        <v>16</v>
      </c>
      <c r="B321" s="0" t="s">
        <v>4077</v>
      </c>
      <c r="C321" s="0" t="s">
        <v>4078</v>
      </c>
      <c r="D321" s="0" t="s">
        <v>4081</v>
      </c>
      <c r="E321" s="0" t="s">
        <v>4082</v>
      </c>
      <c r="F321" s="0" t="s">
        <v>3212</v>
      </c>
      <c r="G321" s="0" t="s">
        <v>4083</v>
      </c>
    </row>
    <row customHeight="1" ht="11.25">
      <c r="A322" s="0" t="s">
        <v>16</v>
      </c>
      <c r="B322" s="0" t="s">
        <v>4077</v>
      </c>
      <c r="C322" s="0" t="s">
        <v>4078</v>
      </c>
      <c r="D322" s="0" t="s">
        <v>4084</v>
      </c>
      <c r="E322" s="0" t="s">
        <v>4085</v>
      </c>
      <c r="F322" s="0" t="s">
        <v>3212</v>
      </c>
      <c r="G322" s="0" t="s">
        <v>4086</v>
      </c>
    </row>
    <row customHeight="1" ht="11.25">
      <c r="A323" s="0" t="s">
        <v>16</v>
      </c>
      <c r="B323" s="0" t="s">
        <v>4077</v>
      </c>
      <c r="C323" s="0" t="s">
        <v>4078</v>
      </c>
      <c r="D323" s="0" t="s">
        <v>4087</v>
      </c>
      <c r="E323" s="0" t="s">
        <v>4088</v>
      </c>
      <c r="F323" s="0" t="s">
        <v>3221</v>
      </c>
      <c r="G323" s="0" t="s">
        <v>4089</v>
      </c>
    </row>
    <row customHeight="1" ht="11.25">
      <c r="A324" s="0" t="s">
        <v>16</v>
      </c>
      <c r="B324" s="0" t="s">
        <v>4077</v>
      </c>
      <c r="C324" s="0" t="s">
        <v>4078</v>
      </c>
      <c r="D324" s="0" t="s">
        <v>3371</v>
      </c>
      <c r="E324" s="0" t="s">
        <v>4090</v>
      </c>
      <c r="F324" s="0" t="s">
        <v>3212</v>
      </c>
      <c r="G324" s="0" t="s">
        <v>4091</v>
      </c>
    </row>
    <row customHeight="1" ht="11.25">
      <c r="A325" s="0" t="s">
        <v>16</v>
      </c>
      <c r="B325" s="0" t="s">
        <v>4077</v>
      </c>
      <c r="C325" s="0" t="s">
        <v>4078</v>
      </c>
      <c r="D325" s="0" t="s">
        <v>4092</v>
      </c>
      <c r="E325" s="0" t="s">
        <v>4093</v>
      </c>
      <c r="F325" s="0" t="s">
        <v>3212</v>
      </c>
      <c r="G325" s="0" t="s">
        <v>4094</v>
      </c>
    </row>
    <row customHeight="1" ht="11.25">
      <c r="A326" s="0" t="s">
        <v>16</v>
      </c>
      <c r="B326" s="0" t="s">
        <v>4077</v>
      </c>
      <c r="C326" s="0" t="s">
        <v>4078</v>
      </c>
      <c r="D326" s="0" t="s">
        <v>4095</v>
      </c>
      <c r="E326" s="0" t="s">
        <v>4096</v>
      </c>
      <c r="F326" s="0" t="s">
        <v>3212</v>
      </c>
      <c r="G326" s="0" t="s">
        <v>4097</v>
      </c>
    </row>
    <row customHeight="1" ht="11.25">
      <c r="A327" s="0" t="s">
        <v>16</v>
      </c>
      <c r="B327" s="0" t="s">
        <v>4077</v>
      </c>
      <c r="C327" s="0" t="s">
        <v>4078</v>
      </c>
      <c r="D327" s="0" t="s">
        <v>4077</v>
      </c>
      <c r="E327" s="0" t="s">
        <v>4078</v>
      </c>
      <c r="F327" s="0" t="s">
        <v>3209</v>
      </c>
      <c r="G327" s="0" t="s">
        <v>4098</v>
      </c>
    </row>
    <row customHeight="1" ht="11.25">
      <c r="A328" s="0" t="s">
        <v>16</v>
      </c>
      <c r="B328" s="0" t="s">
        <v>4099</v>
      </c>
      <c r="C328" s="0" t="s">
        <v>4100</v>
      </c>
      <c r="D328" s="0" t="s">
        <v>4101</v>
      </c>
      <c r="E328" s="0" t="s">
        <v>4102</v>
      </c>
      <c r="F328" s="0" t="s">
        <v>3212</v>
      </c>
      <c r="G328" s="0" t="s">
        <v>4103</v>
      </c>
    </row>
    <row customHeight="1" ht="11.25">
      <c r="A329" s="0" t="s">
        <v>16</v>
      </c>
      <c r="B329" s="0" t="s">
        <v>4099</v>
      </c>
      <c r="C329" s="0" t="s">
        <v>4100</v>
      </c>
      <c r="D329" s="0" t="s">
        <v>4104</v>
      </c>
      <c r="E329" s="0" t="s">
        <v>4105</v>
      </c>
      <c r="F329" s="0" t="s">
        <v>3221</v>
      </c>
      <c r="G329" s="0" t="s">
        <v>4106</v>
      </c>
    </row>
    <row customHeight="1" ht="11.25">
      <c r="A330" s="0" t="s">
        <v>16</v>
      </c>
      <c r="B330" s="0" t="s">
        <v>4099</v>
      </c>
      <c r="C330" s="0" t="s">
        <v>4100</v>
      </c>
      <c r="D330" s="0" t="s">
        <v>4107</v>
      </c>
      <c r="E330" s="0" t="s">
        <v>4108</v>
      </c>
      <c r="F330" s="0" t="s">
        <v>3212</v>
      </c>
      <c r="G330" s="0" t="s">
        <v>4109</v>
      </c>
    </row>
    <row customHeight="1" ht="11.25">
      <c r="A331" s="0" t="s">
        <v>16</v>
      </c>
      <c r="B331" s="0" t="s">
        <v>4099</v>
      </c>
      <c r="C331" s="0" t="s">
        <v>4100</v>
      </c>
      <c r="D331" s="0" t="s">
        <v>4110</v>
      </c>
      <c r="E331" s="0" t="s">
        <v>4111</v>
      </c>
      <c r="F331" s="0" t="s">
        <v>3212</v>
      </c>
      <c r="G331" s="0" t="s">
        <v>4112</v>
      </c>
    </row>
    <row customHeight="1" ht="11.25">
      <c r="A332" s="0" t="s">
        <v>16</v>
      </c>
      <c r="B332" s="0" t="s">
        <v>4099</v>
      </c>
      <c r="C332" s="0" t="s">
        <v>4100</v>
      </c>
      <c r="D332" s="0" t="s">
        <v>3307</v>
      </c>
      <c r="E332" s="0" t="s">
        <v>4113</v>
      </c>
      <c r="F332" s="0" t="s">
        <v>3212</v>
      </c>
      <c r="G332" s="0" t="s">
        <v>4114</v>
      </c>
    </row>
    <row customHeight="1" ht="11.25">
      <c r="A333" s="0" t="s">
        <v>16</v>
      </c>
      <c r="B333" s="0" t="s">
        <v>4099</v>
      </c>
      <c r="C333" s="0" t="s">
        <v>4100</v>
      </c>
      <c r="D333" s="0" t="s">
        <v>4099</v>
      </c>
      <c r="E333" s="0" t="s">
        <v>4100</v>
      </c>
      <c r="F333" s="0" t="s">
        <v>3209</v>
      </c>
      <c r="G333" s="0" t="s">
        <v>4115</v>
      </c>
    </row>
    <row customHeight="1" ht="11.25">
      <c r="A334" s="0" t="s">
        <v>16</v>
      </c>
      <c r="B334" s="0" t="s">
        <v>4116</v>
      </c>
      <c r="C334" s="0" t="s">
        <v>4117</v>
      </c>
      <c r="D334" s="0" t="s">
        <v>4116</v>
      </c>
      <c r="E334" s="0" t="s">
        <v>4117</v>
      </c>
      <c r="F334" s="0" t="s">
        <v>3377</v>
      </c>
      <c r="G334" s="0" t="s">
        <v>4118</v>
      </c>
    </row>
    <row customHeight="1" ht="11.25">
      <c r="A335" s="0" t="s">
        <v>16</v>
      </c>
      <c r="B335" s="0" t="s">
        <v>4119</v>
      </c>
      <c r="C335" s="0" t="s">
        <v>4120</v>
      </c>
      <c r="D335" s="0" t="s">
        <v>4119</v>
      </c>
      <c r="E335" s="0" t="s">
        <v>4120</v>
      </c>
      <c r="F335" s="0" t="s">
        <v>3377</v>
      </c>
      <c r="G335" s="0" t="s">
        <v>4121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0659F-EEE5-C986-D61D-2D3749F5C8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style="7348" width="84.28125" customWidth="1"/>
  </cols>
  <sheetData>
    <row customHeight="1" ht="11.25">
      <c r="A1" s="3681" t="s">
        <v>4138</v>
      </c>
      <c r="B1" s="3681" t="s">
        <v>4139</v>
      </c>
      <c r="C1" s="3681" t="s">
        <v>1187</v>
      </c>
    </row>
    <row customHeight="1" ht="11.25">
      <c r="A2" s="3681">
        <v>4189678</v>
      </c>
      <c r="B2" s="3681" t="s">
        <v>4140</v>
      </c>
      <c r="C2" s="3681" t="s">
        <v>4141</v>
      </c>
    </row>
    <row customHeight="1" ht="11.25">
      <c r="A3" s="3681">
        <v>4190415</v>
      </c>
      <c r="B3" s="3681" t="s">
        <v>4142</v>
      </c>
      <c r="C3" s="3681" t="s">
        <v>4141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6414A-208D-6731-02F7-C995F002A4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348" width="38.421875" customWidth="1"/>
  </cols>
  <sheetData>
    <row customHeight="1" ht="15">
      <c r="A1" s="4046" t="s">
        <v>4143</v>
      </c>
      <c r="B1" s="4046" t="s">
        <v>4144</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9DC74-F8F4-9059-6DBF-4398E87AD7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4145</v>
      </c>
      <c r="B1" s="0" t="b">
        <v>1</v>
      </c>
    </row>
    <row customHeight="1" ht="11.25">
      <c r="A2" s="0" t="s">
        <v>4146</v>
      </c>
      <c r="B2" s="0" t="b">
        <v>0</v>
      </c>
    </row>
    <row customHeight="1" ht="11.25">
      <c r="A3" s="0" t="s">
        <v>4147</v>
      </c>
      <c r="B3" s="0" t="b">
        <v>0</v>
      </c>
    </row>
    <row customHeight="1" ht="11.25">
      <c r="A4" s="0" t="s">
        <v>4148</v>
      </c>
      <c r="B4" s="0" t="b">
        <v>0</v>
      </c>
    </row>
    <row customHeight="1" ht="11.25">
      <c r="A5" s="0" t="s">
        <v>4149</v>
      </c>
      <c r="B5" s="0" t="b">
        <v>0</v>
      </c>
    </row>
    <row customHeight="1" ht="11.25">
      <c r="A6" s="0" t="s">
        <v>4150</v>
      </c>
      <c r="B6" s="0" t="b">
        <v>1</v>
      </c>
    </row>
    <row customHeight="1" ht="11.25">
      <c r="A7" s="0" t="s">
        <v>4151</v>
      </c>
      <c r="B7" s="0" t="b">
        <v>0</v>
      </c>
    </row>
    <row customHeight="1" ht="11.25">
      <c r="A8" s="0" t="s">
        <v>4152</v>
      </c>
      <c r="B8" s="0" t="b">
        <v>0</v>
      </c>
    </row>
    <row customHeight="1" ht="11.25">
      <c r="A9" s="0" t="s">
        <v>4153</v>
      </c>
      <c r="B9" s="0" t="b">
        <v>0</v>
      </c>
    </row>
    <row customHeight="1" ht="11.25">
      <c r="A10" s="0" t="s">
        <v>4154</v>
      </c>
      <c r="B10" s="0" t="b">
        <v>1</v>
      </c>
    </row>
    <row customHeight="1" ht="11.25">
      <c r="A11" s="0" t="s">
        <v>4155</v>
      </c>
      <c r="B11" s="0" t="b">
        <v>0</v>
      </c>
    </row>
    <row customHeight="1" ht="11.25">
      <c r="A12" s="0" t="s">
        <v>4156</v>
      </c>
      <c r="B12" s="0" t="b">
        <v>0</v>
      </c>
    </row>
    <row customHeight="1" ht="11.25">
      <c r="A13" s="0" t="s">
        <v>4157</v>
      </c>
      <c r="B13" s="0" t="b">
        <v>0</v>
      </c>
    </row>
    <row customHeight="1" ht="11.25">
      <c r="A14" s="0" t="s">
        <v>4158</v>
      </c>
      <c r="B14" s="0" t="b">
        <v>0</v>
      </c>
    </row>
    <row customHeight="1" ht="11.25">
      <c r="A15" s="0" t="s">
        <v>4159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C0F9C-22EF-3306-32FA-77367B42C75B}"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0CA56-0EAC-DEA8-3755-68C155EBEC6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348" width="36.28125" customWidth="1"/>
    <col min="2" max="2" style="7348" width="21.140625" customWidth="1"/>
  </cols>
  <sheetData>
    <row customHeight="1" ht="11.25">
      <c r="A1" s="1287" t="s">
        <v>4160</v>
      </c>
      <c r="B1" s="1287" t="s">
        <v>4161</v>
      </c>
    </row>
    <row customHeight="1" ht="11.25">
      <c r="A2" s="164" t="s">
        <v>4162</v>
      </c>
      <c r="B2" s="164" t="s">
        <v>4163</v>
      </c>
    </row>
    <row customHeight="1" ht="11.25">
      <c r="A3" s="164" t="s">
        <v>4164</v>
      </c>
      <c r="B3" s="164" t="s">
        <v>4165</v>
      </c>
    </row>
    <row customHeight="1" ht="11.25">
      <c r="A4" s="164" t="s">
        <v>4166</v>
      </c>
      <c r="B4" s="164" t="s">
        <v>4167</v>
      </c>
    </row>
    <row customHeight="1" ht="11.25">
      <c r="A5" s="164" t="s">
        <v>4168</v>
      </c>
      <c r="B5" s="164" t="s">
        <v>4169</v>
      </c>
    </row>
    <row customHeight="1" ht="11.25">
      <c r="A6" s="164" t="s">
        <v>4170</v>
      </c>
      <c r="B6" s="164" t="s">
        <v>4171</v>
      </c>
    </row>
    <row customHeight="1" ht="11.25">
      <c r="A7" s="164" t="s">
        <v>4172</v>
      </c>
      <c r="B7" s="164" t="s">
        <v>4173</v>
      </c>
    </row>
    <row customHeight="1" ht="11.25">
      <c r="A8" s="164" t="s">
        <v>4174</v>
      </c>
      <c r="B8" s="164" t="s">
        <v>4175</v>
      </c>
    </row>
    <row customHeight="1" ht="11.25">
      <c r="A9" s="164" t="s">
        <v>4176</v>
      </c>
      <c r="B9" s="164" t="s">
        <v>4177</v>
      </c>
    </row>
    <row customHeight="1" ht="11.25">
      <c r="A10" s="164" t="s">
        <v>4178</v>
      </c>
      <c r="B10" s="164" t="s">
        <v>4179</v>
      </c>
    </row>
    <row customHeight="1" ht="11.25">
      <c r="A11" s="164" t="s">
        <v>4180</v>
      </c>
      <c r="B11" s="164" t="s">
        <v>4181</v>
      </c>
    </row>
    <row customHeight="1" ht="11.25">
      <c r="A12" s="164" t="s">
        <v>4182</v>
      </c>
      <c r="B12" s="164" t="s">
        <v>4183</v>
      </c>
    </row>
    <row customHeight="1" ht="11.25">
      <c r="A13" s="164" t="s">
        <v>4184</v>
      </c>
      <c r="B13" s="164" t="s">
        <v>4185</v>
      </c>
    </row>
    <row customHeight="1" ht="11.25">
      <c r="A14" s="164" t="s">
        <v>4186</v>
      </c>
      <c r="B14" s="164" t="s">
        <v>4187</v>
      </c>
    </row>
    <row customHeight="1" ht="11.25">
      <c r="A15" s="164" t="s">
        <v>4188</v>
      </c>
      <c r="B15" s="164" t="s">
        <v>4189</v>
      </c>
    </row>
    <row customHeight="1" ht="11.25">
      <c r="A16" s="164" t="s">
        <v>4190</v>
      </c>
      <c r="B16" s="164" t="s">
        <v>4191</v>
      </c>
    </row>
    <row customHeight="1" ht="11.25">
      <c r="A17" s="164" t="s">
        <v>4192</v>
      </c>
      <c r="B17" s="164" t="s">
        <v>4193</v>
      </c>
    </row>
    <row customHeight="1" ht="11.25">
      <c r="A18" s="164" t="s">
        <v>4194</v>
      </c>
      <c r="B18" s="164" t="s">
        <v>4195</v>
      </c>
    </row>
    <row customHeight="1" ht="11.25">
      <c r="A19" s="164" t="s">
        <v>4196</v>
      </c>
      <c r="B19" s="164" t="s">
        <v>4197</v>
      </c>
    </row>
    <row customHeight="1" ht="11.25">
      <c r="A20" s="164" t="s">
        <v>4198</v>
      </c>
      <c r="B20" s="164" t="s">
        <v>4199</v>
      </c>
    </row>
    <row customHeight="1" ht="11.25">
      <c r="A21" s="164" t="s">
        <v>4200</v>
      </c>
      <c r="B21" s="164" t="s">
        <v>4201</v>
      </c>
    </row>
    <row customHeight="1" ht="11.25">
      <c r="A22" s="164" t="s">
        <v>4202</v>
      </c>
      <c r="B22" s="164" t="s">
        <v>4203</v>
      </c>
    </row>
    <row customHeight="1" ht="11.25">
      <c r="A23" s="164" t="s">
        <v>4204</v>
      </c>
      <c r="B23" s="164" t="s">
        <v>4205</v>
      </c>
    </row>
    <row customHeight="1" ht="11.25">
      <c r="A24" s="164" t="s">
        <v>4206</v>
      </c>
      <c r="B24" s="164" t="s">
        <v>4207</v>
      </c>
    </row>
    <row customHeight="1" ht="11.25">
      <c r="A25" s="164" t="s">
        <v>4208</v>
      </c>
      <c r="B25" s="164" t="s">
        <v>4209</v>
      </c>
    </row>
    <row customHeight="1" ht="11.25">
      <c r="A26" s="164" t="s">
        <v>4210</v>
      </c>
      <c r="B26" s="164" t="s">
        <v>4211</v>
      </c>
    </row>
    <row customHeight="1" ht="11.25">
      <c r="A27" s="164" t="s">
        <v>4212</v>
      </c>
      <c r="B27" s="164" t="s">
        <v>4213</v>
      </c>
    </row>
    <row customHeight="1" ht="11.25">
      <c r="A28" s="164" t="s">
        <v>4214</v>
      </c>
      <c r="B28" s="164" t="s">
        <v>4215</v>
      </c>
    </row>
    <row customHeight="1" ht="11.25">
      <c r="A29" s="164" t="s">
        <v>4216</v>
      </c>
      <c r="B29" s="164" t="s">
        <v>4217</v>
      </c>
    </row>
    <row customHeight="1" ht="11.25">
      <c r="A30" s="164" t="s">
        <v>4218</v>
      </c>
      <c r="B30" s="164" t="s">
        <v>4219</v>
      </c>
    </row>
    <row customHeight="1" ht="11.25">
      <c r="A31" s="164" t="s">
        <v>4220</v>
      </c>
      <c r="B31" s="164" t="s">
        <v>4221</v>
      </c>
    </row>
    <row customHeight="1" ht="11.25">
      <c r="A32" s="164" t="s">
        <v>4222</v>
      </c>
      <c r="B32" s="164" t="s">
        <v>4223</v>
      </c>
    </row>
    <row customHeight="1" ht="11.25">
      <c r="A33" s="164" t="s">
        <v>4224</v>
      </c>
      <c r="B33" s="164" t="s">
        <v>4225</v>
      </c>
    </row>
    <row customHeight="1" ht="11.25">
      <c r="A34" s="164" t="s">
        <v>4226</v>
      </c>
      <c r="B34" s="164" t="s">
        <v>4227</v>
      </c>
    </row>
    <row customHeight="1" ht="11.25">
      <c r="A35" s="164" t="s">
        <v>4228</v>
      </c>
      <c r="B35" s="164" t="s">
        <v>4229</v>
      </c>
    </row>
    <row customHeight="1" ht="11.25">
      <c r="A36" s="164" t="s">
        <v>4230</v>
      </c>
      <c r="B36" s="164" t="s">
        <v>4231</v>
      </c>
    </row>
    <row customHeight="1" ht="11.25">
      <c r="A37" s="164" t="s">
        <v>4232</v>
      </c>
      <c r="B37" s="164" t="s">
        <v>4233</v>
      </c>
    </row>
    <row customHeight="1" ht="11.25">
      <c r="A38" s="164" t="s">
        <v>4234</v>
      </c>
      <c r="B38" s="164" t="s">
        <v>4235</v>
      </c>
    </row>
    <row customHeight="1" ht="11.25">
      <c r="A39" s="164" t="s">
        <v>4236</v>
      </c>
      <c r="B39" s="164" t="s">
        <v>4237</v>
      </c>
    </row>
    <row customHeight="1" ht="11.25">
      <c r="A40" s="164" t="s">
        <v>4238</v>
      </c>
      <c r="B40" s="164" t="s">
        <v>4239</v>
      </c>
    </row>
    <row customHeight="1" ht="11.25">
      <c r="A41" s="164" t="s">
        <v>4240</v>
      </c>
      <c r="B41" s="164" t="s">
        <v>4241</v>
      </c>
    </row>
    <row customHeight="1" ht="11.25">
      <c r="A42" s="164" t="s">
        <v>4242</v>
      </c>
      <c r="B42" s="164" t="s">
        <v>4243</v>
      </c>
    </row>
    <row customHeight="1" ht="11.25">
      <c r="A43" s="164" t="s">
        <v>4244</v>
      </c>
      <c r="B43" s="164" t="s">
        <v>4245</v>
      </c>
    </row>
    <row customHeight="1" ht="11.25">
      <c r="A44" s="164" t="s">
        <v>4246</v>
      </c>
      <c r="B44" s="164" t="s">
        <v>4247</v>
      </c>
    </row>
    <row customHeight="1" ht="11.25">
      <c r="A45" s="164" t="s">
        <v>4248</v>
      </c>
      <c r="B45" s="164" t="s">
        <v>4249</v>
      </c>
    </row>
    <row customHeight="1" ht="11.25">
      <c r="A46" s="164" t="s">
        <v>4250</v>
      </c>
      <c r="B46" s="164" t="s">
        <v>4251</v>
      </c>
    </row>
    <row customHeight="1" ht="11.25">
      <c r="A47" s="164" t="s">
        <v>4252</v>
      </c>
      <c r="B47" s="164" t="s">
        <v>4253</v>
      </c>
    </row>
    <row customHeight="1" ht="11.25">
      <c r="A48" s="164" t="s">
        <v>4254</v>
      </c>
      <c r="B48" s="164" t="s">
        <v>4255</v>
      </c>
    </row>
    <row customHeight="1" ht="11.25">
      <c r="A49" s="164" t="s">
        <v>4256</v>
      </c>
      <c r="B49" s="164" t="s">
        <v>4257</v>
      </c>
    </row>
    <row customHeight="1" ht="11.25">
      <c r="A50" s="164" t="s">
        <v>4258</v>
      </c>
      <c r="B50" s="164" t="s">
        <v>4259</v>
      </c>
    </row>
    <row customHeight="1" ht="11.25">
      <c r="A51" s="164" t="s">
        <v>4260</v>
      </c>
      <c r="B51" s="164" t="s">
        <v>4261</v>
      </c>
    </row>
    <row customHeight="1" ht="11.25">
      <c r="A52" s="164" t="s">
        <v>4262</v>
      </c>
      <c r="B52" s="164" t="s">
        <v>4263</v>
      </c>
    </row>
    <row customHeight="1" ht="11.25">
      <c r="A53" s="164" t="s">
        <v>4264</v>
      </c>
      <c r="B53" s="164" t="s">
        <v>4265</v>
      </c>
    </row>
    <row customHeight="1" ht="11.25">
      <c r="A54" s="164" t="s">
        <v>4266</v>
      </c>
      <c r="B54" s="164" t="s">
        <v>4267</v>
      </c>
    </row>
    <row customHeight="1" ht="11.25">
      <c r="A55" s="164" t="s">
        <v>4268</v>
      </c>
      <c r="B55" s="164" t="s">
        <v>4269</v>
      </c>
    </row>
    <row customHeight="1" ht="11.25">
      <c r="A56" s="164" t="s">
        <v>4270</v>
      </c>
      <c r="B56" s="164" t="s">
        <v>4271</v>
      </c>
    </row>
    <row customHeight="1" ht="11.25">
      <c r="A57" s="164" t="s">
        <v>4272</v>
      </c>
      <c r="B57" s="164" t="s">
        <v>4273</v>
      </c>
    </row>
    <row customHeight="1" ht="11.25">
      <c r="A58" s="164" t="s">
        <v>4274</v>
      </c>
      <c r="B58" s="164" t="s">
        <v>4275</v>
      </c>
    </row>
    <row customHeight="1" ht="11.25">
      <c r="A59" s="164" t="s">
        <v>4276</v>
      </c>
      <c r="B59" s="164" t="s">
        <v>4277</v>
      </c>
    </row>
    <row customHeight="1" ht="11.25">
      <c r="A60" s="164" t="s">
        <v>4278</v>
      </c>
      <c r="B60" s="164" t="s">
        <v>4279</v>
      </c>
    </row>
    <row customHeight="1" ht="11.25">
      <c r="B61" s="164" t="s">
        <v>4280</v>
      </c>
    </row>
    <row customHeight="1" ht="11.25">
      <c r="B62" s="164" t="s">
        <v>4281</v>
      </c>
    </row>
    <row customHeight="1" ht="11.25">
      <c r="B63" s="164" t="s">
        <v>4282</v>
      </c>
    </row>
    <row customHeight="1" ht="11.25">
      <c r="B64" s="164" t="s">
        <v>4283</v>
      </c>
    </row>
    <row customHeight="1" ht="11.25">
      <c r="B65" s="164" t="s">
        <v>4284</v>
      </c>
    </row>
    <row customHeight="1" ht="11.25">
      <c r="B66" s="164" t="s">
        <v>4285</v>
      </c>
    </row>
    <row customHeight="1" ht="11.25">
      <c r="B67" s="164" t="s">
        <v>4286</v>
      </c>
    </row>
    <row customHeight="1" ht="11.25">
      <c r="B68" s="164" t="s">
        <v>4287</v>
      </c>
    </row>
    <row customHeight="1" ht="11.25">
      <c r="B69" s="164" t="s">
        <v>4288</v>
      </c>
    </row>
    <row customHeight="1" ht="11.25">
      <c r="B70" s="164" t="s">
        <v>4289</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DDBCB-A04F-FCDE-4781-3438AFD260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348" width="3.7109375" customWidth="1"/>
    <col min="2" max="2" style="7348" width="90.7109375" customWidth="1"/>
  </cols>
  <sheetData>
    <row customHeight="1" ht="11.25">
      <c r="B1" s="1291" t="s">
        <v>4290</v>
      </c>
    </row>
    <row customHeight="1" ht="90">
      <c r="B2" s="4047" t="s">
        <v>4291</v>
      </c>
    </row>
    <row customHeight="1" ht="67.5">
      <c r="B3" s="4047" t="s">
        <v>4292</v>
      </c>
    </row>
    <row customHeight="1" ht="33.75">
      <c r="B4" s="4047" t="s">
        <v>4293</v>
      </c>
    </row>
    <row customHeight="1" ht="11.25">
      <c r="B5" s="4047" t="s">
        <v>4294</v>
      </c>
    </row>
    <row customHeight="1" ht="22.5">
      <c r="B6" s="4047" t="s">
        <v>4295</v>
      </c>
    </row>
    <row customHeight="1" ht="22.5">
      <c r="B7" s="4047" t="s">
        <v>4296</v>
      </c>
    </row>
    <row customHeight="1" ht="22.5">
      <c r="B8" s="4047" t="s">
        <v>4297</v>
      </c>
    </row>
    <row customHeight="1" ht="22.5">
      <c r="B9" s="4047" t="s">
        <v>4298</v>
      </c>
    </row>
    <row customHeight="1" ht="56.25">
      <c r="B10" s="4047" t="s">
        <v>4299</v>
      </c>
    </row>
    <row customHeight="1" ht="12.75">
      <c r="B11" s="4048" t="s">
        <v>4300</v>
      </c>
    </row>
    <row customHeight="1" ht="11.25">
      <c r="B12" s="1291" t="s">
        <v>4301</v>
      </c>
    </row>
    <row customHeight="1" ht="22.5">
      <c r="B13" s="4047" t="s">
        <v>4302</v>
      </c>
    </row>
    <row customHeight="1" ht="67.5">
      <c r="B14" s="4047" t="s">
        <v>4303</v>
      </c>
    </row>
    <row customHeight="1" ht="22.5">
      <c r="B15" s="4047" t="s">
        <v>4304</v>
      </c>
    </row>
    <row customHeight="1" ht="11.25">
      <c r="B16" s="1291" t="s">
        <v>4305</v>
      </c>
    </row>
    <row customHeight="1" ht="33.75">
      <c r="B17" s="4047" t="s">
        <v>4306</v>
      </c>
    </row>
    <row customHeight="1" ht="33.75">
      <c r="B18" s="4047" t="s">
        <v>4307</v>
      </c>
    </row>
    <row customHeight="1" ht="11.25">
      <c r="B19" s="4047" t="s">
        <v>4308</v>
      </c>
    </row>
    <row customHeight="1" ht="33.75">
      <c r="B20" s="4047" t="s">
        <v>4309</v>
      </c>
    </row>
    <row customHeight="1" ht="11.25">
      <c r="B21" s="1291" t="s">
        <v>4310</v>
      </c>
    </row>
    <row customHeight="1" ht="11.25">
      <c r="B22" s="4047" t="s">
        <v>4311</v>
      </c>
    </row>
    <row r="24" customHeight="1" ht="22.5">
      <c r="B24" s="4049" t="s">
        <v>4312</v>
      </c>
    </row>
    <row r="26" customHeight="1" ht="11.25">
      <c r="B26" s="1291" t="s">
        <v>4313</v>
      </c>
    </row>
    <row customHeight="1" ht="22.5">
      <c r="B27" s="393" t="s">
        <v>411</v>
      </c>
    </row>
    <row customHeight="1" ht="56.25">
      <c r="B28" s="393" t="s">
        <v>4314</v>
      </c>
    </row>
    <row customHeight="1" ht="11.25">
      <c r="B29" s="1295" t="s">
        <v>4315</v>
      </c>
    </row>
    <row customHeight="1" ht="22.5">
      <c r="B30" s="393" t="s">
        <v>4316</v>
      </c>
    </row>
    <row r="32" customHeight="1" ht="11.25">
      <c r="B32" s="4050" t="s">
        <v>4317</v>
      </c>
    </row>
    <row customHeight="1" ht="14.25">
      <c r="A33" s="4051">
        <v>1</v>
      </c>
      <c r="B33" s="4052" t="s">
        <v>4318</v>
      </c>
    </row>
    <row customHeight="1" ht="14.25">
      <c r="A34" s="4051">
        <v>2</v>
      </c>
      <c r="B34" s="4052" t="s">
        <v>4319</v>
      </c>
    </row>
    <row customHeight="1" ht="11.25">
      <c r="B35" s="4050" t="s">
        <v>4320</v>
      </c>
    </row>
    <row customHeight="1" ht="11.25">
      <c r="B36" s="4052" t="s">
        <v>4321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